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9720" windowHeight="6795" activeTab="1"/>
  </bookViews>
  <sheets>
    <sheet name="BPatrimonia Mensal-2016" sheetId="1" r:id="rId1"/>
    <sheet name="Demonst Rec. e Despesas Mensais" sheetId="2" r:id="rId2"/>
  </sheets>
  <calcPr calcId="125725"/>
</workbook>
</file>

<file path=xl/calcChain.xml><?xml version="1.0" encoding="utf-8"?>
<calcChain xmlns="http://schemas.openxmlformats.org/spreadsheetml/2006/main">
  <c r="E51" i="2"/>
  <c r="E49"/>
  <c r="E46"/>
  <c r="E42"/>
  <c r="E41"/>
  <c r="E40"/>
  <c r="E39"/>
  <c r="E54"/>
  <c r="M38"/>
  <c r="L38"/>
  <c r="K38"/>
  <c r="J38"/>
  <c r="I38"/>
  <c r="H38"/>
  <c r="G38"/>
  <c r="F38"/>
  <c r="B38"/>
  <c r="C38"/>
  <c r="D38"/>
  <c r="D41"/>
  <c r="D39"/>
  <c r="D51"/>
  <c r="D49"/>
  <c r="D46"/>
  <c r="D42"/>
  <c r="D40"/>
  <c r="D54"/>
  <c r="C51"/>
  <c r="C49"/>
  <c r="C46"/>
  <c r="C42"/>
  <c r="C41"/>
  <c r="C40"/>
  <c r="C39"/>
  <c r="C54"/>
  <c r="B40"/>
  <c r="B41"/>
  <c r="B49"/>
  <c r="B39"/>
  <c r="B51"/>
  <c r="B46"/>
  <c r="B42"/>
  <c r="B54"/>
  <c r="E15"/>
  <c r="D15"/>
  <c r="C15"/>
  <c r="B15"/>
  <c r="M50"/>
  <c r="M39"/>
  <c r="M46"/>
  <c r="M40"/>
  <c r="M51"/>
  <c r="M49"/>
  <c r="M41"/>
  <c r="M42"/>
  <c r="L49"/>
  <c r="L51"/>
  <c r="L46"/>
  <c r="L42"/>
  <c r="L41"/>
  <c r="L40"/>
  <c r="L39"/>
  <c r="K46"/>
  <c r="K51"/>
  <c r="K49"/>
  <c r="K42"/>
  <c r="K41"/>
  <c r="K40"/>
  <c r="K39"/>
  <c r="J39"/>
  <c r="J51"/>
  <c r="J49"/>
  <c r="J46"/>
  <c r="J42"/>
  <c r="J41"/>
  <c r="J40"/>
  <c r="I51"/>
  <c r="I49"/>
  <c r="I46"/>
  <c r="I42"/>
  <c r="I41"/>
  <c r="I40"/>
  <c r="I39"/>
  <c r="H51"/>
  <c r="H49"/>
  <c r="H46"/>
  <c r="H42"/>
  <c r="H41"/>
  <c r="H40"/>
  <c r="H39"/>
  <c r="G51"/>
  <c r="G49"/>
  <c r="G46"/>
  <c r="G42"/>
  <c r="G41"/>
  <c r="G40"/>
  <c r="G39"/>
  <c r="F39"/>
  <c r="F51"/>
  <c r="F49"/>
  <c r="F46"/>
  <c r="F42"/>
  <c r="F41"/>
  <c r="F40"/>
  <c r="C50"/>
  <c r="M54"/>
  <c r="L54"/>
  <c r="K54"/>
  <c r="J54"/>
  <c r="E38" l="1"/>
  <c r="I54"/>
  <c r="H57"/>
  <c r="H54"/>
  <c r="G54"/>
  <c r="F54"/>
  <c r="M12"/>
  <c r="L12"/>
  <c r="K12"/>
  <c r="J12"/>
  <c r="M32"/>
  <c r="C32"/>
  <c r="D32"/>
  <c r="E32"/>
  <c r="F32"/>
  <c r="G32"/>
  <c r="H32"/>
  <c r="I32"/>
  <c r="J32"/>
  <c r="K32"/>
  <c r="L32"/>
  <c r="B32"/>
  <c r="N27"/>
  <c r="N28"/>
  <c r="N29"/>
  <c r="N33"/>
  <c r="N32" s="1"/>
  <c r="N25"/>
  <c r="N26"/>
  <c r="M14" l="1"/>
  <c r="M30" s="1"/>
  <c r="L14"/>
  <c r="L30" s="1"/>
  <c r="K14"/>
  <c r="K30" s="1"/>
  <c r="J14"/>
  <c r="J30" s="1"/>
  <c r="I14"/>
  <c r="I30" s="1"/>
  <c r="H14"/>
  <c r="H30" s="1"/>
  <c r="G14"/>
  <c r="G30" s="1"/>
  <c r="F14"/>
  <c r="F30" s="1"/>
  <c r="E30"/>
  <c r="D30"/>
  <c r="C30"/>
  <c r="B30" l="1"/>
  <c r="N47"/>
  <c r="N48"/>
  <c r="N50"/>
  <c r="M45"/>
  <c r="M63"/>
  <c r="C63"/>
  <c r="D63"/>
  <c r="E63"/>
  <c r="F63"/>
  <c r="G63"/>
  <c r="H63"/>
  <c r="I63"/>
  <c r="J63"/>
  <c r="K63"/>
  <c r="L63"/>
  <c r="N66"/>
  <c r="N67"/>
  <c r="N64"/>
  <c r="N65"/>
  <c r="K45"/>
  <c r="N39"/>
  <c r="N51"/>
  <c r="N49"/>
  <c r="N41"/>
  <c r="I12"/>
  <c r="N10"/>
  <c r="N11"/>
  <c r="B63"/>
  <c r="C27" i="1"/>
  <c r="D27"/>
  <c r="E27"/>
  <c r="F27"/>
  <c r="G27"/>
  <c r="H27"/>
  <c r="I27"/>
  <c r="J27"/>
  <c r="K27"/>
  <c r="L27"/>
  <c r="M27"/>
  <c r="B27"/>
  <c r="B8"/>
  <c r="H52"/>
  <c r="F48"/>
  <c r="G48"/>
  <c r="H48"/>
  <c r="I48"/>
  <c r="J48"/>
  <c r="K48"/>
  <c r="L48"/>
  <c r="M48"/>
  <c r="J37"/>
  <c r="E37"/>
  <c r="E36" s="1"/>
  <c r="E48"/>
  <c r="D37"/>
  <c r="D36" s="1"/>
  <c r="D48"/>
  <c r="C37"/>
  <c r="C36" s="1"/>
  <c r="C48"/>
  <c r="B48"/>
  <c r="B37"/>
  <c r="B36" s="1"/>
  <c r="E12" i="2"/>
  <c r="E31" s="1"/>
  <c r="N17"/>
  <c r="M58"/>
  <c r="H58"/>
  <c r="D58"/>
  <c r="C58"/>
  <c r="J58"/>
  <c r="E58"/>
  <c r="N40"/>
  <c r="L45"/>
  <c r="F58"/>
  <c r="G58"/>
  <c r="I58"/>
  <c r="K58"/>
  <c r="L58"/>
  <c r="B58"/>
  <c r="N60"/>
  <c r="N61"/>
  <c r="N62"/>
  <c r="D53"/>
  <c r="G53"/>
  <c r="H53"/>
  <c r="H52" s="1"/>
  <c r="N46"/>
  <c r="E45"/>
  <c r="G45"/>
  <c r="J45"/>
  <c r="C45"/>
  <c r="N22"/>
  <c r="N21"/>
  <c r="N20"/>
  <c r="N19"/>
  <c r="N18"/>
  <c r="N16"/>
  <c r="N15"/>
  <c r="N13"/>
  <c r="D12"/>
  <c r="D31" s="1"/>
  <c r="N24"/>
  <c r="N23"/>
  <c r="N9"/>
  <c r="F12"/>
  <c r="G12"/>
  <c r="G31" s="1"/>
  <c r="H12"/>
  <c r="H31" s="1"/>
  <c r="J36" i="1"/>
  <c r="D52"/>
  <c r="M13"/>
  <c r="J22"/>
  <c r="G13"/>
  <c r="F22"/>
  <c r="C8"/>
  <c r="C13"/>
  <c r="D8"/>
  <c r="D13"/>
  <c r="B12" i="2"/>
  <c r="B31" s="1"/>
  <c r="G52" i="1"/>
  <c r="J52"/>
  <c r="M52"/>
  <c r="L52"/>
  <c r="K52"/>
  <c r="M37"/>
  <c r="M36" s="1"/>
  <c r="K37"/>
  <c r="K36" s="1"/>
  <c r="K59" s="1"/>
  <c r="L37"/>
  <c r="L36" s="1"/>
  <c r="L59" s="1"/>
  <c r="I52"/>
  <c r="I37"/>
  <c r="I36" s="1"/>
  <c r="H37"/>
  <c r="H36" s="1"/>
  <c r="H59" s="1"/>
  <c r="F52"/>
  <c r="E52"/>
  <c r="F37"/>
  <c r="F36" s="1"/>
  <c r="G37"/>
  <c r="G36" s="1"/>
  <c r="L8"/>
  <c r="L13"/>
  <c r="K8"/>
  <c r="K13"/>
  <c r="M22"/>
  <c r="L22"/>
  <c r="K22"/>
  <c r="M8"/>
  <c r="I8"/>
  <c r="I13"/>
  <c r="H8"/>
  <c r="H13"/>
  <c r="I22"/>
  <c r="H22"/>
  <c r="J13"/>
  <c r="J8"/>
  <c r="F8"/>
  <c r="F13"/>
  <c r="E8"/>
  <c r="E13"/>
  <c r="G22"/>
  <c r="E22"/>
  <c r="G8"/>
  <c r="C22"/>
  <c r="D22"/>
  <c r="B52"/>
  <c r="B13"/>
  <c r="B22"/>
  <c r="C52"/>
  <c r="N14" i="2"/>
  <c r="N8"/>
  <c r="B53"/>
  <c r="B52" s="1"/>
  <c r="I53"/>
  <c r="K53"/>
  <c r="J53"/>
  <c r="K31"/>
  <c r="C53"/>
  <c r="C52" s="1"/>
  <c r="N42"/>
  <c r="I45"/>
  <c r="H45"/>
  <c r="C12"/>
  <c r="C31" s="1"/>
  <c r="F45"/>
  <c r="F53"/>
  <c r="L53"/>
  <c r="N56"/>
  <c r="N55"/>
  <c r="B45"/>
  <c r="D45"/>
  <c r="N54"/>
  <c r="N59"/>
  <c r="N57"/>
  <c r="M53"/>
  <c r="M52" s="1"/>
  <c r="E53"/>
  <c r="B37" l="1"/>
  <c r="E52"/>
  <c r="E37" s="1"/>
  <c r="M37"/>
  <c r="F52"/>
  <c r="F37" s="1"/>
  <c r="J52"/>
  <c r="J37" s="1"/>
  <c r="H37"/>
  <c r="N38"/>
  <c r="N45"/>
  <c r="D69"/>
  <c r="C37"/>
  <c r="M69"/>
  <c r="L52"/>
  <c r="L37" s="1"/>
  <c r="L69"/>
  <c r="K52"/>
  <c r="K37" s="1"/>
  <c r="K69"/>
  <c r="J69"/>
  <c r="I52"/>
  <c r="I37" s="1"/>
  <c r="I69"/>
  <c r="H69"/>
  <c r="G52"/>
  <c r="G37" s="1"/>
  <c r="G69"/>
  <c r="F69"/>
  <c r="N53"/>
  <c r="E69"/>
  <c r="D52"/>
  <c r="D37" s="1"/>
  <c r="N58"/>
  <c r="C69"/>
  <c r="N63"/>
  <c r="B69"/>
  <c r="K7"/>
  <c r="K34"/>
  <c r="H7"/>
  <c r="H34"/>
  <c r="G7"/>
  <c r="G34"/>
  <c r="E7"/>
  <c r="E34"/>
  <c r="D7"/>
  <c r="D34"/>
  <c r="C7"/>
  <c r="C34"/>
  <c r="B7"/>
  <c r="B34"/>
  <c r="F31"/>
  <c r="M31"/>
  <c r="L31"/>
  <c r="J31"/>
  <c r="I31"/>
  <c r="N12"/>
  <c r="K7" i="1"/>
  <c r="K32" s="1"/>
  <c r="C7"/>
  <c r="C32" s="1"/>
  <c r="D7"/>
  <c r="D32" s="1"/>
  <c r="N30" i="2"/>
  <c r="M59" i="1"/>
  <c r="M7"/>
  <c r="M32" s="1"/>
  <c r="L7"/>
  <c r="L32" s="1"/>
  <c r="J59"/>
  <c r="J7"/>
  <c r="J32" s="1"/>
  <c r="I59"/>
  <c r="I7"/>
  <c r="I32" s="1"/>
  <c r="H7"/>
  <c r="H32" s="1"/>
  <c r="G59"/>
  <c r="G7"/>
  <c r="G32" s="1"/>
  <c r="F59"/>
  <c r="F7"/>
  <c r="F32" s="1"/>
  <c r="E59"/>
  <c r="E7"/>
  <c r="E32" s="1"/>
  <c r="D59"/>
  <c r="C59"/>
  <c r="B59"/>
  <c r="B7"/>
  <c r="B32" s="1"/>
  <c r="N37" i="2" l="1"/>
  <c r="N52"/>
  <c r="N69"/>
  <c r="M7"/>
  <c r="M34"/>
  <c r="L7"/>
  <c r="L34"/>
  <c r="J7"/>
  <c r="J34"/>
  <c r="I7"/>
  <c r="I34"/>
  <c r="F7"/>
  <c r="N7" s="1"/>
  <c r="F34"/>
  <c r="N31"/>
  <c r="N34" l="1"/>
  <c r="N71" s="1"/>
  <c r="N70"/>
</calcChain>
</file>

<file path=xl/sharedStrings.xml><?xml version="1.0" encoding="utf-8"?>
<sst xmlns="http://schemas.openxmlformats.org/spreadsheetml/2006/main" count="180" uniqueCount="130">
  <si>
    <t xml:space="preserve">  Disponibilidade</t>
  </si>
  <si>
    <t xml:space="preserve">   Caixa</t>
  </si>
  <si>
    <t xml:space="preserve">  Creditos</t>
  </si>
  <si>
    <t xml:space="preserve"> ATIVO CIRCULANTE</t>
  </si>
  <si>
    <t xml:space="preserve">  Imobilizado</t>
  </si>
  <si>
    <t xml:space="preserve">  Investimentos</t>
  </si>
  <si>
    <t xml:space="preserve">  Contas a Pagar</t>
  </si>
  <si>
    <t xml:space="preserve">   Fornecedores</t>
  </si>
  <si>
    <t xml:space="preserve">   Cheques a Compensar</t>
  </si>
  <si>
    <t xml:space="preserve">  Patrimonio Social</t>
  </si>
  <si>
    <t>TOTAL  DO  PASSIVO</t>
  </si>
  <si>
    <t>TOTAL  DO  ATIVO</t>
  </si>
  <si>
    <t>Geraldo Alves de Andrade</t>
  </si>
  <si>
    <t>Presidente</t>
  </si>
  <si>
    <t xml:space="preserve">   Empréstimos Diversos</t>
  </si>
  <si>
    <t>Receitas Previstas</t>
  </si>
  <si>
    <t>Contador</t>
  </si>
  <si>
    <t xml:space="preserve">   Bancos C/Movimentos</t>
  </si>
  <si>
    <t xml:space="preserve">   Aplicacoes</t>
  </si>
  <si>
    <t xml:space="preserve"> ATIVO</t>
  </si>
  <si>
    <t xml:space="preserve"> PASSIVO</t>
  </si>
  <si>
    <t>Diretora Finaneira</t>
  </si>
  <si>
    <r>
      <t xml:space="preserve"> </t>
    </r>
    <r>
      <rPr>
        <b/>
        <sz val="8"/>
        <rFont val="Arial"/>
        <family val="2"/>
      </rPr>
      <t>PASSIVO CIRCULANTE</t>
    </r>
  </si>
  <si>
    <t>Associação do Pessoal da Caixa Econômica Federal - PB</t>
  </si>
  <si>
    <t>08.680.399/0001-00</t>
  </si>
  <si>
    <t>Financiamento Convênio</t>
  </si>
  <si>
    <t>Créditos Diversos a Receber</t>
  </si>
  <si>
    <t>Financiamentos Lojas Convênidas</t>
  </si>
  <si>
    <t xml:space="preserve">   Contas a Pagar Diversas</t>
  </si>
  <si>
    <t xml:space="preserve">   Poupança</t>
  </si>
  <si>
    <t>PASSIVO NÃO CIRCULANTE</t>
  </si>
  <si>
    <t>ATIVO NÃO CIRCULANTE</t>
  </si>
  <si>
    <t>REALIZÁVEL A LONGO PRAZO</t>
  </si>
  <si>
    <t xml:space="preserve"> PERMANENTE</t>
  </si>
  <si>
    <t>(-) Depreciação Acumulada</t>
  </si>
  <si>
    <t>PATRIMONIO SOCIAL LÍQUIDO</t>
  </si>
  <si>
    <t>Superávit/Défict Acumulado</t>
  </si>
  <si>
    <t>Superávit/Défict do Exercício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</si>
  <si>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</si>
  <si>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</si>
  <si>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</si>
  <si>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</si>
  <si>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</si>
  <si>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</si>
  <si>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</si>
  <si>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</si>
  <si>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</si>
  <si>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</si>
  <si>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</si>
  <si>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</si>
  <si>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RECEITAS OPERACIONAIS</t>
  </si>
  <si>
    <t>Rec.C/Mensalidades Sócio Efetivos</t>
  </si>
  <si>
    <t>Rec. C/Mens. Sócios Contribuintes</t>
  </si>
  <si>
    <t>Rec. Mensalidades Piscina</t>
  </si>
  <si>
    <t>Rec.c/Alugueis</t>
  </si>
  <si>
    <t>Receitas c/Apcef Saúde</t>
  </si>
  <si>
    <t>Rec. C/Doações Fenae</t>
  </si>
  <si>
    <t>Rec. c/Hospedagens (Diárias Apto)</t>
  </si>
  <si>
    <t>Rec. c/Recuperação de Despesas</t>
  </si>
  <si>
    <t>Rec.c/Rendtos Aplic.Financeiras</t>
  </si>
  <si>
    <t>Outras Receitas</t>
  </si>
  <si>
    <t>DESPESAS OPERACIONAIS</t>
  </si>
  <si>
    <t>DESPESAS COM PESSOAL</t>
  </si>
  <si>
    <t>Salários e Ordenados</t>
  </si>
  <si>
    <t>FGTS</t>
  </si>
  <si>
    <t>INSS</t>
  </si>
  <si>
    <t>PIS S/Folha Mensal</t>
  </si>
  <si>
    <t>Despesas Asministrativas</t>
  </si>
  <si>
    <t>Despesas Sociais</t>
  </si>
  <si>
    <t>Despesas Tributárias</t>
  </si>
  <si>
    <t>Despesas Financeiras</t>
  </si>
  <si>
    <t>APCEF SAUDE</t>
  </si>
  <si>
    <t>DESP. OPERACIONAIS JPA,CG e PATOS</t>
  </si>
  <si>
    <t>Pendências a Regularizar</t>
  </si>
  <si>
    <t>Receitas Financeiras</t>
  </si>
  <si>
    <t>Obrigacoes Sociais</t>
  </si>
  <si>
    <t>Outros Receb. p/Conta de Terceiros</t>
  </si>
  <si>
    <t>TOTAL  DAS DESPESAS MENSAIS</t>
  </si>
  <si>
    <t>II SUBTOTAL - DEMAIS RECEITAS</t>
  </si>
  <si>
    <t>I SubTotal - Receitas c/Mensalidade</t>
  </si>
  <si>
    <t>Total Exercício</t>
  </si>
  <si>
    <t>Despesas Esportivas</t>
  </si>
  <si>
    <t>TOTAL</t>
  </si>
  <si>
    <t>Valores  a Recuperar</t>
  </si>
  <si>
    <t>Despesas a Apropriar</t>
  </si>
  <si>
    <t>Obrigações Tributárias</t>
  </si>
  <si>
    <t>Empréstimo FENAE</t>
  </si>
  <si>
    <t>Edneuza Rodrigues de Lima</t>
  </si>
  <si>
    <t>Carlos Alberto Ferreira Espínola</t>
  </si>
  <si>
    <t>Carlos Alberto Ferriera Espínola</t>
  </si>
  <si>
    <t>Ikntangíveis</t>
  </si>
  <si>
    <t>Estoque Mercadoria - Restaurante</t>
  </si>
  <si>
    <t xml:space="preserve"> Adiantamentos Diversos</t>
  </si>
  <si>
    <t>DESP. DA APCEF-RESTAURANTE</t>
  </si>
  <si>
    <t>Desp. c/ pessoal</t>
  </si>
  <si>
    <t>Desp. Operacionais</t>
  </si>
  <si>
    <t>Desp. Financ eiras</t>
  </si>
  <si>
    <t>Rec. c/Apcef-Restaurante</t>
  </si>
  <si>
    <t>Rec. C/Mens. Sócios Aposentados</t>
  </si>
  <si>
    <t>Dedução das Receitas</t>
  </si>
  <si>
    <t>Custo das Mercadorias Vendidas</t>
  </si>
  <si>
    <t>DESP. C/PESSOAL DA APCEF-ADM/SAÚDE</t>
  </si>
  <si>
    <t>ESCRIOTÓRIO,  CG e PATOS</t>
  </si>
  <si>
    <t>DEMONSTRAÇÃO DAS RECEITAS</t>
  </si>
  <si>
    <t>DEMONSTRAÇÃO DAS DESPESAS</t>
  </si>
  <si>
    <t xml:space="preserve">Edneuza Rodrigues de Lima </t>
  </si>
  <si>
    <t>Clientes</t>
  </si>
  <si>
    <t>Rec. c/ Venda de Títulos</t>
  </si>
  <si>
    <t>,</t>
  </si>
  <si>
    <t>Rua Barão de Mamanguape nº 959 - Torre</t>
  </si>
  <si>
    <t>Rua Barão de Mamanguape, 959 - Torre</t>
  </si>
  <si>
    <t>Receitas com Jogos FENAE</t>
  </si>
  <si>
    <t>Receitas com Promoções Sociais - Bingo</t>
  </si>
  <si>
    <t>Total  das Receitas Operacioinais Mensais</t>
  </si>
  <si>
    <t>RECEITAS NÃO OPERACIONAIS</t>
  </si>
  <si>
    <t xml:space="preserve">Receitas com Vendas do Permanente-Açoes </t>
  </si>
  <si>
    <t>TOTAL GERAL DAS RECEITAS DO EXERCÍCIO</t>
  </si>
  <si>
    <t>Receita c/ Mensal. Escolinha de Futebol</t>
  </si>
  <si>
    <t>Receita c/ Doações de Terceiros</t>
  </si>
  <si>
    <t>Receitas c/Dividendos</t>
  </si>
  <si>
    <t>Dedução das receitas</t>
  </si>
  <si>
    <t>RESULTADO OPERACIONAL DO EXERCÍCIO</t>
  </si>
  <si>
    <t>RESULTADO GERAL DO EXERCÍCIO</t>
  </si>
  <si>
    <t>BALANÇO PATRIMONIAL MENSAL RELATIVO AO EXERCÍCIO DE 2016</t>
  </si>
  <si>
    <t>Receitas c/ Mensal. Escolinha de Natação</t>
  </si>
  <si>
    <t>Receita c/ Aluguel do Campo de Futebol</t>
  </si>
  <si>
    <t>BALANÇO PATRIMONIAL MENSAL RELATIVO AO EXERCÍCIOS DE 2016</t>
  </si>
  <si>
    <t>Obrigações  Trabalhistas</t>
  </si>
  <si>
    <t>Contribuição Social mensal</t>
  </si>
  <si>
    <t>Contribuição Sindical Anual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</si>
</sst>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b/>
      <sz val="8"/>
      <color rgb="FF006600"/>
      <name val="Arial"/>
      <family val="2"/>
    </font>
    <font>
      <b/>
      <sz val="9"/>
      <color rgb="FF006600"/>
      <name val="Arial"/>
      <family val="2"/>
    </font>
    <font>
      <sz val="9"/>
      <color rgb="FF006600"/>
      <name val="Arial"/>
      <family val="2"/>
    </font>
    <font>
      <sz val="8"/>
      <color rgb="FF006600"/>
      <name val="Arial"/>
      <family val="2"/>
    </font>
    <font>
      <sz val="10"/>
      <color rgb="FF00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0">
    <xf numFmtId="0" fontId="0" fillId="0" borderId="0" xfId="0"/>
    <xf numFmtId="164" fontId="0" fillId="0" borderId="0" xfId="0" applyNumberFormat="1"/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164" fontId="5" fillId="0" borderId="0" xfId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2" fillId="0" borderId="3" xfId="1" applyFont="1" applyBorder="1"/>
    <xf numFmtId="164" fontId="5" fillId="0" borderId="0" xfId="1" applyFont="1" applyBorder="1" applyAlignment="1">
      <alignment horizontal="center" vertical="center"/>
    </xf>
    <xf numFmtId="0" fontId="2" fillId="0" borderId="4" xfId="0" applyFont="1" applyBorder="1"/>
    <xf numFmtId="2" fontId="3" fillId="0" borderId="0" xfId="0" applyNumberFormat="1" applyFont="1" applyBorder="1" applyAlignment="1">
      <alignment horizontal="center"/>
    </xf>
    <xf numFmtId="164" fontId="7" fillId="0" borderId="0" xfId="1" applyFont="1"/>
    <xf numFmtId="0" fontId="0" fillId="0" borderId="0" xfId="0" applyFill="1" applyBorder="1" applyAlignment="1">
      <alignment vertical="center"/>
    </xf>
    <xf numFmtId="0" fontId="7" fillId="0" borderId="0" xfId="0" applyFont="1"/>
    <xf numFmtId="164" fontId="0" fillId="0" borderId="0" xfId="1" applyFont="1" applyFill="1" applyBorder="1" applyAlignment="1">
      <alignment vertical="center"/>
    </xf>
    <xf numFmtId="0" fontId="8" fillId="0" borderId="0" xfId="0" applyFont="1"/>
    <xf numFmtId="0" fontId="5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Border="1" applyAlignment="1" applyProtection="1">
      <alignment vertical="center"/>
      <protection locked="0"/>
    </xf>
    <xf numFmtId="164" fontId="4" fillId="0" borderId="7" xfId="1" applyFont="1" applyBorder="1" applyAlignment="1">
      <alignment vertical="center"/>
    </xf>
    <xf numFmtId="164" fontId="4" fillId="0" borderId="8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9" xfId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9" xfId="1" applyFont="1" applyBorder="1"/>
    <xf numFmtId="164" fontId="2" fillId="0" borderId="3" xfId="1" applyFont="1" applyBorder="1" applyProtection="1">
      <protection locked="0"/>
    </xf>
    <xf numFmtId="164" fontId="4" fillId="0" borderId="3" xfId="1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4" fontId="5" fillId="0" borderId="0" xfId="0" applyNumberFormat="1" applyFont="1" applyBorder="1"/>
    <xf numFmtId="164" fontId="5" fillId="0" borderId="0" xfId="1" applyFont="1" applyBorder="1" applyAlignment="1">
      <alignment vertical="center"/>
    </xf>
    <xf numFmtId="0" fontId="2" fillId="0" borderId="10" xfId="0" applyFont="1" applyBorder="1"/>
    <xf numFmtId="164" fontId="2" fillId="0" borderId="11" xfId="1" applyFont="1" applyBorder="1"/>
    <xf numFmtId="164" fontId="2" fillId="0" borderId="11" xfId="1" applyFont="1" applyBorder="1" applyProtection="1">
      <protection locked="0"/>
    </xf>
    <xf numFmtId="164" fontId="6" fillId="0" borderId="0" xfId="1" applyFont="1" applyFill="1" applyBorder="1" applyAlignment="1">
      <alignment vertical="center"/>
    </xf>
    <xf numFmtId="0" fontId="0" fillId="0" borderId="0" xfId="0" applyBorder="1"/>
    <xf numFmtId="164" fontId="2" fillId="0" borderId="9" xfId="1" applyFont="1" applyBorder="1" applyAlignment="1" applyProtection="1">
      <alignment vertical="center"/>
      <protection locked="0"/>
    </xf>
    <xf numFmtId="164" fontId="2" fillId="0" borderId="9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4" fillId="0" borderId="13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11" xfId="1" applyFont="1" applyBorder="1" applyAlignment="1">
      <alignment vertical="center"/>
    </xf>
    <xf numFmtId="164" fontId="2" fillId="0" borderId="11" xfId="1" applyFont="1" applyBorder="1" applyAlignment="1" applyProtection="1">
      <alignment vertical="center"/>
      <protection locked="0"/>
    </xf>
    <xf numFmtId="164" fontId="2" fillId="0" borderId="14" xfId="1" applyFont="1" applyBorder="1" applyAlignment="1" applyProtection="1">
      <alignment vertical="center"/>
      <protection locked="0"/>
    </xf>
    <xf numFmtId="0" fontId="4" fillId="0" borderId="12" xfId="0" applyFont="1" applyBorder="1"/>
    <xf numFmtId="164" fontId="4" fillId="0" borderId="13" xfId="0" applyNumberFormat="1" applyFont="1" applyBorder="1"/>
    <xf numFmtId="164" fontId="4" fillId="0" borderId="13" xfId="1" applyFont="1" applyBorder="1"/>
    <xf numFmtId="164" fontId="0" fillId="0" borderId="0" xfId="1" applyFont="1" applyBorder="1"/>
    <xf numFmtId="164" fontId="0" fillId="0" borderId="0" xfId="0" applyNumberFormat="1" applyBorder="1"/>
    <xf numFmtId="0" fontId="8" fillId="0" borderId="0" xfId="0" applyFont="1" applyBorder="1"/>
    <xf numFmtId="164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15" xfId="0" applyBorder="1"/>
    <xf numFmtId="0" fontId="5" fillId="0" borderId="15" xfId="0" applyFont="1" applyBorder="1"/>
    <xf numFmtId="0" fontId="5" fillId="0" borderId="15" xfId="0" applyFont="1" applyBorder="1" applyAlignment="1">
      <alignment horizontal="center" vertical="center"/>
    </xf>
    <xf numFmtId="164" fontId="5" fillId="0" borderId="15" xfId="1" applyFont="1" applyBorder="1"/>
    <xf numFmtId="164" fontId="0" fillId="0" borderId="15" xfId="1" applyFont="1" applyBorder="1"/>
    <xf numFmtId="0" fontId="4" fillId="0" borderId="17" xfId="0" applyFont="1" applyBorder="1" applyAlignment="1">
      <alignment vertical="center"/>
    </xf>
    <xf numFmtId="164" fontId="1" fillId="0" borderId="0" xfId="1" applyBorder="1"/>
    <xf numFmtId="164" fontId="1" fillId="0" borderId="15" xfId="1" applyBorder="1"/>
    <xf numFmtId="164" fontId="1" fillId="0" borderId="0" xfId="1" applyFill="1" applyBorder="1" applyAlignment="1">
      <alignment vertical="center"/>
    </xf>
    <xf numFmtId="164" fontId="4" fillId="0" borderId="3" xfId="0" applyNumberFormat="1" applyFont="1" applyBorder="1"/>
    <xf numFmtId="0" fontId="2" fillId="0" borderId="4" xfId="0" applyFont="1" applyFill="1" applyBorder="1" applyAlignment="1">
      <alignment vertical="center"/>
    </xf>
    <xf numFmtId="164" fontId="2" fillId="0" borderId="0" xfId="1" applyFont="1" applyFill="1" applyBorder="1"/>
    <xf numFmtId="0" fontId="2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164" fontId="0" fillId="0" borderId="0" xfId="1" applyFont="1"/>
    <xf numFmtId="0" fontId="8" fillId="0" borderId="0" xfId="0" applyFont="1" applyFill="1" applyBorder="1"/>
    <xf numFmtId="164" fontId="10" fillId="0" borderId="0" xfId="0" applyNumberFormat="1" applyFont="1"/>
    <xf numFmtId="164" fontId="10" fillId="0" borderId="0" xfId="1" applyFont="1"/>
    <xf numFmtId="0" fontId="4" fillId="0" borderId="3" xfId="0" applyFont="1" applyBorder="1" applyAlignment="1"/>
    <xf numFmtId="0" fontId="2" fillId="0" borderId="18" xfId="0" applyFont="1" applyBorder="1" applyAlignment="1">
      <alignment vertical="center"/>
    </xf>
    <xf numFmtId="164" fontId="6" fillId="0" borderId="0" xfId="1" applyFont="1" applyFill="1" applyBorder="1"/>
    <xf numFmtId="0" fontId="4" fillId="0" borderId="25" xfId="0" applyFont="1" applyBorder="1" applyAlignment="1"/>
    <xf numFmtId="0" fontId="2" fillId="0" borderId="28" xfId="0" applyFont="1" applyBorder="1"/>
    <xf numFmtId="0" fontId="2" fillId="0" borderId="3" xfId="0" applyFont="1" applyBorder="1" applyAlignment="1"/>
    <xf numFmtId="164" fontId="2" fillId="0" borderId="9" xfId="1" applyFont="1" applyBorder="1" applyProtection="1">
      <protection locked="0"/>
    </xf>
    <xf numFmtId="0" fontId="2" fillId="0" borderId="25" xfId="0" applyFont="1" applyBorder="1" applyAlignment="1">
      <alignment vertical="center"/>
    </xf>
    <xf numFmtId="164" fontId="2" fillId="0" borderId="26" xfId="1" applyFont="1" applyBorder="1" applyAlignment="1">
      <alignment vertical="center"/>
    </xf>
    <xf numFmtId="164" fontId="2" fillId="0" borderId="26" xfId="1" applyFont="1" applyBorder="1" applyAlignment="1" applyProtection="1">
      <alignment vertical="center"/>
      <protection locked="0"/>
    </xf>
    <xf numFmtId="164" fontId="2" fillId="0" borderId="27" xfId="1" applyFont="1" applyBorder="1" applyAlignment="1" applyProtection="1">
      <alignment vertical="center"/>
      <protection locked="0"/>
    </xf>
    <xf numFmtId="0" fontId="11" fillId="0" borderId="0" xfId="0" applyFont="1"/>
    <xf numFmtId="43" fontId="0" fillId="0" borderId="0" xfId="0" applyNumberFormat="1"/>
    <xf numFmtId="0" fontId="12" fillId="0" borderId="0" xfId="0" applyFont="1"/>
    <xf numFmtId="0" fontId="13" fillId="0" borderId="0" xfId="0" applyFont="1"/>
    <xf numFmtId="0" fontId="12" fillId="0" borderId="0" xfId="0" applyFont="1" applyBorder="1"/>
    <xf numFmtId="0" fontId="10" fillId="0" borderId="0" xfId="0" applyFont="1" applyBorder="1"/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/>
    <xf numFmtId="0" fontId="4" fillId="0" borderId="4" xfId="0" applyFont="1" applyBorder="1"/>
    <xf numFmtId="0" fontId="2" fillId="0" borderId="25" xfId="0" applyFont="1" applyBorder="1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Border="1"/>
    <xf numFmtId="164" fontId="4" fillId="0" borderId="0" xfId="1" applyFont="1" applyFill="1" applyBorder="1" applyAlignment="1">
      <alignment vertical="center"/>
    </xf>
    <xf numFmtId="0" fontId="1" fillId="0" borderId="5" xfId="0" applyFont="1" applyBorder="1"/>
    <xf numFmtId="164" fontId="1" fillId="0" borderId="3" xfId="1" applyFont="1" applyBorder="1"/>
    <xf numFmtId="0" fontId="1" fillId="0" borderId="3" xfId="0" applyFont="1" applyBorder="1"/>
    <xf numFmtId="164" fontId="1" fillId="0" borderId="9" xfId="1" applyFont="1" applyBorder="1"/>
    <xf numFmtId="0" fontId="1" fillId="0" borderId="11" xfId="0" applyFont="1" applyBorder="1"/>
    <xf numFmtId="164" fontId="1" fillId="0" borderId="14" xfId="1" applyFont="1" applyBorder="1"/>
    <xf numFmtId="4" fontId="2" fillId="0" borderId="3" xfId="0" applyNumberFormat="1" applyFont="1" applyBorder="1"/>
    <xf numFmtId="0" fontId="7" fillId="0" borderId="39" xfId="0" applyFont="1" applyBorder="1"/>
    <xf numFmtId="0" fontId="4" fillId="0" borderId="39" xfId="0" applyFont="1" applyBorder="1" applyAlignment="1">
      <alignment vertical="center"/>
    </xf>
    <xf numFmtId="164" fontId="4" fillId="0" borderId="43" xfId="0" applyNumberFormat="1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164" fontId="2" fillId="0" borderId="41" xfId="1" applyFont="1" applyBorder="1" applyAlignment="1">
      <alignment vertical="center"/>
    </xf>
    <xf numFmtId="164" fontId="2" fillId="0" borderId="41" xfId="1" applyFont="1" applyBorder="1"/>
    <xf numFmtId="164" fontId="4" fillId="0" borderId="41" xfId="1" applyFont="1" applyBorder="1" applyAlignment="1">
      <alignment vertical="center"/>
    </xf>
    <xf numFmtId="164" fontId="4" fillId="0" borderId="44" xfId="0" applyNumberFormat="1" applyFont="1" applyBorder="1"/>
    <xf numFmtId="164" fontId="4" fillId="0" borderId="45" xfId="0" applyNumberFormat="1" applyFont="1" applyBorder="1"/>
    <xf numFmtId="164" fontId="2" fillId="0" borderId="45" xfId="0" applyNumberFormat="1" applyFont="1" applyBorder="1"/>
    <xf numFmtId="0" fontId="4" fillId="0" borderId="25" xfId="0" applyFont="1" applyBorder="1" applyAlignment="1">
      <alignment vertical="center"/>
    </xf>
    <xf numFmtId="0" fontId="4" fillId="0" borderId="19" xfId="0" applyFont="1" applyBorder="1"/>
    <xf numFmtId="164" fontId="9" fillId="0" borderId="0" xfId="1" applyFont="1" applyFill="1" applyBorder="1" applyAlignment="1">
      <alignment vertical="center"/>
    </xf>
    <xf numFmtId="164" fontId="2" fillId="0" borderId="50" xfId="1" applyFont="1" applyFill="1" applyBorder="1"/>
    <xf numFmtId="164" fontId="8" fillId="0" borderId="0" xfId="1" applyFont="1" applyAlignment="1">
      <alignment horizontal="right"/>
    </xf>
    <xf numFmtId="164" fontId="8" fillId="0" borderId="0" xfId="1" applyFont="1" applyBorder="1" applyAlignment="1">
      <alignment horizontal="right"/>
    </xf>
    <xf numFmtId="164" fontId="8" fillId="0" borderId="0" xfId="1" applyFont="1"/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9" fillId="0" borderId="20" xfId="1" applyFont="1" applyBorder="1" applyAlignment="1">
      <alignment vertical="center"/>
    </xf>
    <xf numFmtId="164" fontId="9" fillId="0" borderId="22" xfId="1" applyFont="1" applyBorder="1" applyAlignment="1">
      <alignment vertical="center"/>
    </xf>
    <xf numFmtId="164" fontId="9" fillId="0" borderId="21" xfId="0" applyNumberFormat="1" applyFont="1" applyBorder="1"/>
    <xf numFmtId="164" fontId="14" fillId="0" borderId="7" xfId="1" applyFont="1" applyBorder="1" applyAlignment="1">
      <alignment vertical="center"/>
    </xf>
    <xf numFmtId="164" fontId="14" fillId="0" borderId="43" xfId="1" applyFont="1" applyBorder="1" applyAlignment="1">
      <alignment vertical="center"/>
    </xf>
    <xf numFmtId="164" fontId="14" fillId="0" borderId="44" xfId="0" applyNumberFormat="1" applyFont="1" applyBorder="1"/>
    <xf numFmtId="164" fontId="14" fillId="0" borderId="3" xfId="1" applyFont="1" applyBorder="1" applyAlignment="1">
      <alignment vertical="center"/>
    </xf>
    <xf numFmtId="164" fontId="14" fillId="0" borderId="3" xfId="1" applyFont="1" applyBorder="1" applyAlignment="1" applyProtection="1">
      <alignment vertical="center"/>
      <protection locked="0"/>
    </xf>
    <xf numFmtId="164" fontId="14" fillId="0" borderId="41" xfId="1" applyFont="1" applyBorder="1" applyAlignment="1" applyProtection="1">
      <alignment vertical="center"/>
      <protection locked="0"/>
    </xf>
    <xf numFmtId="164" fontId="14" fillId="0" borderId="45" xfId="0" applyNumberFormat="1" applyFont="1" applyBorder="1"/>
    <xf numFmtId="164" fontId="14" fillId="0" borderId="26" xfId="1" applyFont="1" applyBorder="1" applyAlignment="1">
      <alignment vertical="center"/>
    </xf>
    <xf numFmtId="164" fontId="14" fillId="0" borderId="26" xfId="1" applyFont="1" applyBorder="1" applyAlignment="1" applyProtection="1">
      <alignment vertical="center"/>
      <protection locked="0"/>
    </xf>
    <xf numFmtId="164" fontId="14" fillId="0" borderId="47" xfId="1" applyFont="1" applyBorder="1" applyAlignment="1" applyProtection="1">
      <alignment vertical="center"/>
      <protection locked="0"/>
    </xf>
    <xf numFmtId="164" fontId="14" fillId="0" borderId="49" xfId="0" applyNumberFormat="1" applyFont="1" applyBorder="1"/>
    <xf numFmtId="164" fontId="9" fillId="0" borderId="40" xfId="1" applyFont="1" applyBorder="1" applyAlignment="1">
      <alignment vertical="center"/>
    </xf>
    <xf numFmtId="164" fontId="9" fillId="0" borderId="48" xfId="1" applyFont="1" applyBorder="1" applyAlignment="1">
      <alignment vertical="center"/>
    </xf>
    <xf numFmtId="164" fontId="9" fillId="0" borderId="23" xfId="0" applyNumberFormat="1" applyFont="1" applyBorder="1"/>
    <xf numFmtId="164" fontId="14" fillId="0" borderId="7" xfId="1" applyFont="1" applyBorder="1"/>
    <xf numFmtId="164" fontId="14" fillId="0" borderId="43" xfId="1" applyFont="1" applyBorder="1"/>
    <xf numFmtId="164" fontId="14" fillId="0" borderId="41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9" fillId="0" borderId="41" xfId="1" applyFont="1" applyBorder="1" applyAlignment="1">
      <alignment vertical="center"/>
    </xf>
    <xf numFmtId="164" fontId="14" fillId="0" borderId="11" xfId="1" applyFont="1" applyBorder="1" applyAlignment="1">
      <alignment vertical="center"/>
    </xf>
    <xf numFmtId="164" fontId="14" fillId="0" borderId="11" xfId="1" applyFont="1" applyBorder="1" applyAlignment="1" applyProtection="1">
      <alignment vertical="center"/>
      <protection locked="0"/>
    </xf>
    <xf numFmtId="164" fontId="14" fillId="0" borderId="42" xfId="1" applyFont="1" applyBorder="1" applyAlignment="1" applyProtection="1">
      <alignment vertical="center"/>
      <protection locked="0"/>
    </xf>
    <xf numFmtId="164" fontId="9" fillId="0" borderId="13" xfId="1" applyFont="1" applyBorder="1" applyAlignment="1">
      <alignment vertical="center"/>
    </xf>
    <xf numFmtId="164" fontId="9" fillId="0" borderId="24" xfId="1" applyFont="1" applyBorder="1" applyAlignment="1">
      <alignment vertical="center"/>
    </xf>
    <xf numFmtId="164" fontId="9" fillId="0" borderId="23" xfId="1" applyFont="1" applyBorder="1" applyAlignment="1">
      <alignment vertical="center"/>
    </xf>
    <xf numFmtId="164" fontId="9" fillId="0" borderId="40" xfId="0" applyNumberFormat="1" applyFont="1" applyBorder="1" applyAlignment="1">
      <alignment vertical="center"/>
    </xf>
    <xf numFmtId="164" fontId="9" fillId="0" borderId="48" xfId="0" applyNumberFormat="1" applyFont="1" applyBorder="1" applyAlignment="1">
      <alignment vertical="center"/>
    </xf>
    <xf numFmtId="164" fontId="9" fillId="0" borderId="6" xfId="0" applyNumberFormat="1" applyFont="1" applyBorder="1"/>
    <xf numFmtId="164" fontId="9" fillId="0" borderId="7" xfId="0" applyNumberFormat="1" applyFont="1" applyBorder="1" applyAlignment="1">
      <alignment vertical="center"/>
    </xf>
    <xf numFmtId="164" fontId="9" fillId="0" borderId="26" xfId="0" applyNumberFormat="1" applyFont="1" applyBorder="1" applyAlignment="1">
      <alignment vertical="center"/>
    </xf>
    <xf numFmtId="164" fontId="14" fillId="0" borderId="26" xfId="0" applyNumberFormat="1" applyFont="1" applyBorder="1" applyAlignment="1">
      <alignment vertical="center"/>
    </xf>
    <xf numFmtId="164" fontId="9" fillId="0" borderId="47" xfId="0" applyNumberFormat="1" applyFont="1" applyBorder="1" applyAlignment="1">
      <alignment vertical="center"/>
    </xf>
    <xf numFmtId="43" fontId="2" fillId="0" borderId="20" xfId="0" applyNumberFormat="1" applyFont="1" applyBorder="1"/>
    <xf numFmtId="43" fontId="14" fillId="0" borderId="20" xfId="0" applyNumberFormat="1" applyFont="1" applyBorder="1"/>
    <xf numFmtId="164" fontId="4" fillId="0" borderId="7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164" fontId="4" fillId="0" borderId="41" xfId="1" applyFont="1" applyBorder="1"/>
    <xf numFmtId="164" fontId="2" fillId="0" borderId="41" xfId="1" applyFont="1" applyBorder="1" applyProtection="1">
      <protection locked="0"/>
    </xf>
    <xf numFmtId="164" fontId="2" fillId="0" borderId="45" xfId="1" applyFont="1" applyBorder="1"/>
    <xf numFmtId="164" fontId="4" fillId="0" borderId="45" xfId="1" applyFont="1" applyBorder="1"/>
    <xf numFmtId="164" fontId="1" fillId="0" borderId="42" xfId="1" applyFont="1" applyBorder="1"/>
    <xf numFmtId="0" fontId="1" fillId="0" borderId="46" xfId="0" applyFont="1" applyBorder="1"/>
    <xf numFmtId="0" fontId="4" fillId="0" borderId="51" xfId="0" applyFont="1" applyBorder="1"/>
    <xf numFmtId="164" fontId="4" fillId="0" borderId="50" xfId="0" applyNumberFormat="1" applyFont="1" applyBorder="1"/>
    <xf numFmtId="164" fontId="4" fillId="0" borderId="52" xfId="1" applyFont="1" applyBorder="1"/>
    <xf numFmtId="164" fontId="4" fillId="0" borderId="53" xfId="1" applyFont="1" applyBorder="1"/>
    <xf numFmtId="43" fontId="2" fillId="0" borderId="44" xfId="0" applyNumberFormat="1" applyFont="1" applyFill="1" applyBorder="1" applyAlignment="1"/>
    <xf numFmtId="43" fontId="2" fillId="0" borderId="46" xfId="0" applyNumberFormat="1" applyFont="1" applyFill="1" applyBorder="1" applyAlignment="1"/>
    <xf numFmtId="0" fontId="15" fillId="0" borderId="1" xfId="0" applyFont="1" applyBorder="1" applyAlignment="1">
      <alignment horizontal="center" vertical="center"/>
    </xf>
    <xf numFmtId="164" fontId="16" fillId="0" borderId="20" xfId="1" applyFont="1" applyBorder="1" applyAlignment="1">
      <alignment vertical="center"/>
    </xf>
    <xf numFmtId="164" fontId="17" fillId="0" borderId="7" xfId="1" applyFont="1" applyBorder="1" applyAlignment="1">
      <alignment vertical="center"/>
    </xf>
    <xf numFmtId="164" fontId="17" fillId="0" borderId="3" xfId="1" applyFont="1" applyBorder="1" applyAlignment="1">
      <alignment vertical="center"/>
    </xf>
    <xf numFmtId="164" fontId="17" fillId="0" borderId="26" xfId="1" applyFont="1" applyBorder="1" applyAlignment="1">
      <alignment vertical="center"/>
    </xf>
    <xf numFmtId="164" fontId="16" fillId="0" borderId="40" xfId="1" applyFont="1" applyBorder="1" applyAlignment="1">
      <alignment vertical="center"/>
    </xf>
    <xf numFmtId="164" fontId="17" fillId="0" borderId="7" xfId="1" applyFont="1" applyBorder="1"/>
    <xf numFmtId="164" fontId="17" fillId="0" borderId="11" xfId="1" applyFont="1" applyBorder="1" applyAlignment="1">
      <alignment vertical="center"/>
    </xf>
    <xf numFmtId="164" fontId="16" fillId="0" borderId="13" xfId="1" applyFont="1" applyBorder="1" applyAlignment="1">
      <alignment vertical="center"/>
    </xf>
    <xf numFmtId="164" fontId="16" fillId="0" borderId="40" xfId="0" applyNumberFormat="1" applyFont="1" applyBorder="1" applyAlignment="1">
      <alignment vertical="center"/>
    </xf>
    <xf numFmtId="164" fontId="16" fillId="0" borderId="7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vertical="center"/>
    </xf>
    <xf numFmtId="43" fontId="18" fillId="0" borderId="20" xfId="0" applyNumberFormat="1" applyFont="1" applyBorder="1"/>
    <xf numFmtId="0" fontId="15" fillId="0" borderId="6" xfId="0" applyFont="1" applyBorder="1" applyAlignment="1">
      <alignment horizontal="center" vertical="center"/>
    </xf>
    <xf numFmtId="164" fontId="17" fillId="0" borderId="3" xfId="1" applyFont="1" applyBorder="1" applyAlignment="1" applyProtection="1">
      <alignment vertical="center"/>
      <protection locked="0"/>
    </xf>
    <xf numFmtId="164" fontId="17" fillId="0" borderId="26" xfId="1" applyFont="1" applyBorder="1" applyAlignment="1" applyProtection="1">
      <alignment vertical="center"/>
      <protection locked="0"/>
    </xf>
    <xf numFmtId="164" fontId="17" fillId="0" borderId="11" xfId="1" applyFont="1" applyBorder="1" applyAlignment="1" applyProtection="1">
      <alignment vertical="center"/>
      <protection locked="0"/>
    </xf>
    <xf numFmtId="164" fontId="16" fillId="0" borderId="3" xfId="1" applyFont="1" applyBorder="1" applyAlignment="1">
      <alignment vertical="center"/>
    </xf>
    <xf numFmtId="164" fontId="18" fillId="0" borderId="3" xfId="1" applyFont="1" applyBorder="1" applyAlignment="1">
      <alignment vertical="center"/>
    </xf>
    <xf numFmtId="164" fontId="18" fillId="0" borderId="3" xfId="1" applyFont="1" applyBorder="1"/>
    <xf numFmtId="164" fontId="15" fillId="0" borderId="3" xfId="1" applyFont="1" applyBorder="1" applyAlignment="1">
      <alignment vertical="center"/>
    </xf>
    <xf numFmtId="164" fontId="15" fillId="0" borderId="3" xfId="1" applyFont="1" applyBorder="1"/>
    <xf numFmtId="164" fontId="15" fillId="0" borderId="3" xfId="0" applyNumberFormat="1" applyFont="1" applyBorder="1"/>
    <xf numFmtId="164" fontId="18" fillId="0" borderId="11" xfId="1" applyFont="1" applyBorder="1"/>
    <xf numFmtId="164" fontId="15" fillId="0" borderId="7" xfId="1" applyFont="1" applyBorder="1" applyAlignment="1">
      <alignment vertical="center"/>
    </xf>
    <xf numFmtId="164" fontId="18" fillId="0" borderId="26" xfId="1" applyFont="1" applyBorder="1" applyAlignment="1">
      <alignment vertical="center"/>
    </xf>
    <xf numFmtId="164" fontId="18" fillId="0" borderId="11" xfId="1" applyFont="1" applyBorder="1" applyAlignment="1">
      <alignment vertical="center"/>
    </xf>
    <xf numFmtId="164" fontId="15" fillId="0" borderId="13" xfId="0" applyNumberFormat="1" applyFont="1" applyBorder="1" applyAlignment="1">
      <alignment vertical="center"/>
    </xf>
    <xf numFmtId="164" fontId="15" fillId="0" borderId="16" xfId="1" applyFont="1" applyBorder="1" applyAlignment="1">
      <alignment vertical="center"/>
    </xf>
    <xf numFmtId="164" fontId="15" fillId="0" borderId="13" xfId="0" applyNumberFormat="1" applyFont="1" applyBorder="1"/>
    <xf numFmtId="164" fontId="18" fillId="0" borderId="3" xfId="1" applyFont="1" applyBorder="1" applyAlignment="1" applyProtection="1">
      <alignment vertical="center"/>
      <protection locked="0"/>
    </xf>
    <xf numFmtId="164" fontId="18" fillId="0" borderId="26" xfId="1" applyFont="1" applyBorder="1" applyAlignment="1" applyProtection="1">
      <alignment vertical="center"/>
      <protection locked="0"/>
    </xf>
    <xf numFmtId="164" fontId="18" fillId="0" borderId="11" xfId="1" applyFont="1" applyBorder="1" applyAlignment="1" applyProtection="1">
      <alignment vertical="center"/>
      <protection locked="0"/>
    </xf>
    <xf numFmtId="164" fontId="18" fillId="0" borderId="3" xfId="1" applyFont="1" applyBorder="1" applyProtection="1">
      <protection locked="0"/>
    </xf>
    <xf numFmtId="164" fontId="18" fillId="0" borderId="11" xfId="1" applyFont="1" applyBorder="1" applyProtection="1">
      <protection locked="0"/>
    </xf>
    <xf numFmtId="164" fontId="15" fillId="0" borderId="13" xfId="1" applyFont="1" applyBorder="1"/>
    <xf numFmtId="164" fontId="19" fillId="0" borderId="3" xfId="1" applyFont="1" applyBorder="1"/>
    <xf numFmtId="0" fontId="19" fillId="0" borderId="3" xfId="0" applyFont="1" applyBorder="1"/>
    <xf numFmtId="0" fontId="19" fillId="0" borderId="11" xfId="0" applyFont="1" applyBorder="1"/>
    <xf numFmtId="0" fontId="15" fillId="0" borderId="29" xfId="0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64" fontId="15" fillId="0" borderId="50" xfId="0" applyNumberFormat="1" applyFont="1" applyBorder="1"/>
    <xf numFmtId="0" fontId="15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164" fontId="5" fillId="0" borderId="0" xfId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43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left"/>
    </xf>
    <xf numFmtId="0" fontId="18" fillId="0" borderId="3" xfId="0" applyFont="1" applyBorder="1"/>
    <xf numFmtId="0" fontId="17" fillId="0" borderId="3" xfId="0" applyFont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5"/>
  <sheetViews>
    <sheetView topLeftCell="A40" workbookViewId="0">
      <selection activeCell="E35" sqref="E35:E59"/>
    </sheetView>
  </sheetViews>
  <sheetFormatPr defaultRowHeight="12.75"/>
  <cols>
    <col min="1" max="1" width="25.28515625" customWidth="1"/>
    <col min="2" max="2" width="11.140625" bestFit="1" customWidth="1"/>
    <col min="3" max="3" width="11.85546875" customWidth="1"/>
    <col min="4" max="4" width="12.28515625" customWidth="1"/>
    <col min="5" max="5" width="12" customWidth="1"/>
    <col min="6" max="6" width="12.28515625" customWidth="1"/>
    <col min="7" max="7" width="12.140625" customWidth="1"/>
    <col min="8" max="8" width="11.42578125" customWidth="1"/>
    <col min="9" max="9" width="13.85546875" customWidth="1"/>
    <col min="10" max="10" width="12" bestFit="1" customWidth="1"/>
    <col min="11" max="11" width="11" customWidth="1"/>
    <col min="12" max="12" width="11.140625" customWidth="1"/>
    <col min="13" max="13" width="12" customWidth="1"/>
    <col min="15" max="15" width="10.85546875" customWidth="1"/>
  </cols>
  <sheetData>
    <row r="1" spans="1:15" ht="11.1" customHeight="1">
      <c r="A1" s="233" t="s">
        <v>23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40"/>
    </row>
    <row r="2" spans="1:15" ht="11.1" customHeight="1">
      <c r="A2" s="241" t="s">
        <v>110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3"/>
    </row>
    <row r="3" spans="1:15" ht="11.1" customHeight="1">
      <c r="A3" s="241" t="s">
        <v>24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3"/>
    </row>
    <row r="4" spans="1:15" ht="11.1" customHeight="1" thickBot="1">
      <c r="A4" s="244" t="s">
        <v>126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</row>
    <row r="5" spans="1:15" ht="11.1" customHeight="1" thickBot="1">
      <c r="A5" s="228" t="s">
        <v>19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30"/>
    </row>
    <row r="6" spans="1:15" ht="11.1" customHeight="1" thickBot="1">
      <c r="A6" s="233" t="s">
        <v>3</v>
      </c>
      <c r="B6" s="184" t="s">
        <v>38</v>
      </c>
      <c r="C6" s="197" t="s">
        <v>39</v>
      </c>
      <c r="D6" s="197" t="s">
        <v>40</v>
      </c>
      <c r="E6" s="184" t="s">
        <v>41</v>
      </c>
      <c r="F6" s="20" t="s">
        <v>42</v>
      </c>
      <c r="G6" s="20" t="s">
        <v>43</v>
      </c>
      <c r="H6" s="102" t="s">
        <v>44</v>
      </c>
      <c r="I6" s="20" t="s">
        <v>45</v>
      </c>
      <c r="J6" s="20" t="s">
        <v>46</v>
      </c>
      <c r="K6" s="102" t="s">
        <v>47</v>
      </c>
      <c r="L6" s="20" t="s">
        <v>48</v>
      </c>
      <c r="M6" s="20" t="s">
        <v>49</v>
      </c>
    </row>
    <row r="7" spans="1:15" ht="11.1" customHeight="1">
      <c r="A7" s="234"/>
      <c r="B7" s="208">
        <f t="shared" ref="B7:M7" si="0">B8+B13</f>
        <v>2305920.64</v>
      </c>
      <c r="C7" s="208">
        <f>C8+C13</f>
        <v>2415514.3199999998</v>
      </c>
      <c r="D7" s="208">
        <f t="shared" si="0"/>
        <v>2424896.7999999998</v>
      </c>
      <c r="E7" s="208">
        <f t="shared" si="0"/>
        <v>2513886.85</v>
      </c>
      <c r="F7" s="24">
        <f t="shared" si="0"/>
        <v>1107787.56</v>
      </c>
      <c r="G7" s="24">
        <f t="shared" si="0"/>
        <v>2338669.62</v>
      </c>
      <c r="H7" s="24">
        <f t="shared" si="0"/>
        <v>2321669.61</v>
      </c>
      <c r="I7" s="24">
        <f t="shared" si="0"/>
        <v>2320662.0499999998</v>
      </c>
      <c r="J7" s="24">
        <f t="shared" si="0"/>
        <v>2398481.54</v>
      </c>
      <c r="K7" s="24">
        <f t="shared" si="0"/>
        <v>2380978.52</v>
      </c>
      <c r="L7" s="24">
        <f t="shared" si="0"/>
        <v>2397656.06</v>
      </c>
      <c r="M7" s="25">
        <f t="shared" si="0"/>
        <v>2343878.63</v>
      </c>
    </row>
    <row r="8" spans="1:15" ht="11.1" customHeight="1">
      <c r="A8" s="26" t="s">
        <v>0</v>
      </c>
      <c r="B8" s="204">
        <f t="shared" ref="B8:M8" si="1">SUM(B9:B12)</f>
        <v>1982656.9600000002</v>
      </c>
      <c r="C8" s="204">
        <f t="shared" si="1"/>
        <v>2014348.39</v>
      </c>
      <c r="D8" s="204">
        <f t="shared" si="1"/>
        <v>1982518.55</v>
      </c>
      <c r="E8" s="204">
        <f t="shared" si="1"/>
        <v>2010897.9900000002</v>
      </c>
      <c r="F8" s="21">
        <f t="shared" si="1"/>
        <v>753726.42999999993</v>
      </c>
      <c r="G8" s="21">
        <f t="shared" si="1"/>
        <v>2007213.13</v>
      </c>
      <c r="H8" s="21">
        <f t="shared" si="1"/>
        <v>1982967.94</v>
      </c>
      <c r="I8" s="21">
        <f t="shared" si="1"/>
        <v>1984843.91</v>
      </c>
      <c r="J8" s="21">
        <f t="shared" si="1"/>
        <v>2032902.3699999999</v>
      </c>
      <c r="K8" s="21">
        <f t="shared" si="1"/>
        <v>2021091.17</v>
      </c>
      <c r="L8" s="21">
        <f t="shared" si="1"/>
        <v>2058989.18</v>
      </c>
      <c r="M8" s="27">
        <f t="shared" si="1"/>
        <v>2007949.71</v>
      </c>
    </row>
    <row r="9" spans="1:15" ht="11.1" customHeight="1">
      <c r="A9" s="28" t="s">
        <v>1</v>
      </c>
      <c r="B9" s="202">
        <v>17595.79</v>
      </c>
      <c r="C9" s="214">
        <v>15693.26</v>
      </c>
      <c r="D9" s="214">
        <v>15653.28</v>
      </c>
      <c r="E9" s="202">
        <v>28545.47</v>
      </c>
      <c r="F9" s="23">
        <v>43721.05</v>
      </c>
      <c r="G9" s="23">
        <v>46479.57</v>
      </c>
      <c r="H9" s="22">
        <v>47937.91</v>
      </c>
      <c r="I9" s="23">
        <v>45416.08</v>
      </c>
      <c r="J9" s="23">
        <v>54939.59</v>
      </c>
      <c r="K9" s="22">
        <v>55965.09</v>
      </c>
      <c r="L9" s="23">
        <v>57015.47</v>
      </c>
      <c r="M9" s="41">
        <v>38522.33</v>
      </c>
      <c r="O9" s="101" t="s">
        <v>108</v>
      </c>
    </row>
    <row r="10" spans="1:15" ht="11.1" customHeight="1">
      <c r="A10" s="28" t="s">
        <v>17</v>
      </c>
      <c r="B10" s="202">
        <v>80385.3</v>
      </c>
      <c r="C10" s="214">
        <v>92454.080000000002</v>
      </c>
      <c r="D10" s="214">
        <v>57242.98</v>
      </c>
      <c r="E10" s="202">
        <v>80115.88</v>
      </c>
      <c r="F10" s="23">
        <v>99539.5</v>
      </c>
      <c r="G10" s="23">
        <v>98525.2</v>
      </c>
      <c r="H10" s="22">
        <v>80291.75</v>
      </c>
      <c r="I10" s="23">
        <v>67700.570000000007</v>
      </c>
      <c r="J10" s="23">
        <v>94160.34</v>
      </c>
      <c r="K10" s="22">
        <v>60115.32</v>
      </c>
      <c r="L10" s="23">
        <v>55932.52</v>
      </c>
      <c r="M10" s="41">
        <v>74132.740000000005</v>
      </c>
    </row>
    <row r="11" spans="1:15" ht="11.1" customHeight="1">
      <c r="A11" s="28" t="s">
        <v>18</v>
      </c>
      <c r="B11" s="202">
        <v>1427867.54</v>
      </c>
      <c r="C11" s="214">
        <v>1445039.89</v>
      </c>
      <c r="D11" s="214">
        <v>1443256.83</v>
      </c>
      <c r="E11" s="202">
        <v>1430868.57</v>
      </c>
      <c r="F11" s="23">
        <v>187280.05</v>
      </c>
      <c r="G11" s="23">
        <v>1434637.13</v>
      </c>
      <c r="H11" s="22">
        <v>1422208.28</v>
      </c>
      <c r="I11" s="23">
        <v>1434543.43</v>
      </c>
      <c r="J11" s="23">
        <v>1442034.21</v>
      </c>
      <c r="K11" s="22">
        <v>1463242.53</v>
      </c>
      <c r="L11" s="23">
        <v>1503969.02</v>
      </c>
      <c r="M11" s="41">
        <v>1448022.92</v>
      </c>
    </row>
    <row r="12" spans="1:15" ht="11.1" customHeight="1">
      <c r="A12" s="12" t="s">
        <v>29</v>
      </c>
      <c r="B12" s="203">
        <v>456808.33</v>
      </c>
      <c r="C12" s="203">
        <v>461161.16</v>
      </c>
      <c r="D12" s="203">
        <v>466365.46</v>
      </c>
      <c r="E12" s="203">
        <v>471368.07</v>
      </c>
      <c r="F12" s="10">
        <v>423185.83</v>
      </c>
      <c r="G12" s="10">
        <v>427571.23</v>
      </c>
      <c r="H12" s="10">
        <v>432530</v>
      </c>
      <c r="I12" s="10">
        <v>437183.83</v>
      </c>
      <c r="J12" s="10">
        <v>441768.23</v>
      </c>
      <c r="K12" s="10">
        <v>441768.23</v>
      </c>
      <c r="L12" s="10">
        <v>442072.17</v>
      </c>
      <c r="M12" s="29">
        <v>447271.72</v>
      </c>
    </row>
    <row r="13" spans="1:15" ht="11.1" customHeight="1">
      <c r="A13" s="26" t="s">
        <v>2</v>
      </c>
      <c r="B13" s="204">
        <f t="shared" ref="B13:M13" si="2">SUM(B14:B21)</f>
        <v>323263.67999999993</v>
      </c>
      <c r="C13" s="204">
        <f t="shared" si="2"/>
        <v>401165.93</v>
      </c>
      <c r="D13" s="204">
        <f t="shared" si="2"/>
        <v>442378.24999999994</v>
      </c>
      <c r="E13" s="204">
        <f t="shared" si="2"/>
        <v>502988.86</v>
      </c>
      <c r="F13" s="21">
        <f t="shared" si="2"/>
        <v>354061.13</v>
      </c>
      <c r="G13" s="21">
        <f t="shared" si="2"/>
        <v>331456.49000000005</v>
      </c>
      <c r="H13" s="21">
        <f t="shared" si="2"/>
        <v>338701.67</v>
      </c>
      <c r="I13" s="21">
        <f t="shared" si="2"/>
        <v>335818.14</v>
      </c>
      <c r="J13" s="21">
        <f t="shared" si="2"/>
        <v>365579.17</v>
      </c>
      <c r="K13" s="21">
        <f t="shared" si="2"/>
        <v>359887.35000000003</v>
      </c>
      <c r="L13" s="21">
        <f t="shared" si="2"/>
        <v>338666.88</v>
      </c>
      <c r="M13" s="27">
        <f t="shared" si="2"/>
        <v>335928.92000000004</v>
      </c>
    </row>
    <row r="14" spans="1:15" ht="11.1" customHeight="1">
      <c r="A14" s="28" t="s">
        <v>25</v>
      </c>
      <c r="B14" s="202">
        <v>63183.23</v>
      </c>
      <c r="C14" s="214">
        <v>62916.17</v>
      </c>
      <c r="D14" s="214">
        <v>58099.14</v>
      </c>
      <c r="E14" s="202">
        <v>70325.75</v>
      </c>
      <c r="F14" s="23">
        <v>54880.59</v>
      </c>
      <c r="G14" s="23">
        <v>57180.800000000003</v>
      </c>
      <c r="H14" s="22">
        <v>59052.09</v>
      </c>
      <c r="I14" s="23">
        <v>58493.39</v>
      </c>
      <c r="J14" s="23">
        <v>55211.56</v>
      </c>
      <c r="K14" s="22">
        <v>56766.57</v>
      </c>
      <c r="L14" s="23">
        <v>56933.13</v>
      </c>
      <c r="M14" s="41">
        <v>60803</v>
      </c>
    </row>
    <row r="15" spans="1:15" ht="11.1" customHeight="1">
      <c r="A15" s="28" t="s">
        <v>73</v>
      </c>
      <c r="B15" s="202">
        <v>0</v>
      </c>
      <c r="C15" s="214">
        <v>0</v>
      </c>
      <c r="D15" s="214">
        <v>0</v>
      </c>
      <c r="E15" s="202">
        <v>0</v>
      </c>
      <c r="F15" s="23">
        <v>0</v>
      </c>
      <c r="G15" s="23">
        <v>0</v>
      </c>
      <c r="H15" s="22">
        <v>0</v>
      </c>
      <c r="I15" s="23">
        <v>0</v>
      </c>
      <c r="J15" s="23">
        <v>0</v>
      </c>
      <c r="K15" s="22">
        <v>0</v>
      </c>
      <c r="L15" s="23"/>
      <c r="M15" s="41"/>
    </row>
    <row r="16" spans="1:15" ht="11.1" customHeight="1">
      <c r="A16" s="28" t="s">
        <v>83</v>
      </c>
      <c r="B16" s="202">
        <v>9209.14</v>
      </c>
      <c r="C16" s="214">
        <v>9725.4699999999993</v>
      </c>
      <c r="D16" s="214">
        <v>9909.9500000000007</v>
      </c>
      <c r="E16" s="202">
        <v>8590.7900000000009</v>
      </c>
      <c r="F16" s="23">
        <v>5197.79</v>
      </c>
      <c r="G16" s="23">
        <v>5613.89</v>
      </c>
      <c r="H16" s="22">
        <v>6295.63</v>
      </c>
      <c r="I16" s="23">
        <v>6295.63</v>
      </c>
      <c r="J16" s="23">
        <v>6295.63</v>
      </c>
      <c r="K16" s="22">
        <v>6247.03</v>
      </c>
      <c r="L16" s="23">
        <v>5796.6</v>
      </c>
      <c r="M16" s="41">
        <v>11860.31</v>
      </c>
    </row>
    <row r="17" spans="1:13" ht="11.1" customHeight="1">
      <c r="A17" s="28" t="s">
        <v>26</v>
      </c>
      <c r="B17" s="202">
        <v>124376.11</v>
      </c>
      <c r="C17" s="214">
        <v>123202.99</v>
      </c>
      <c r="D17" s="214">
        <v>123282.14</v>
      </c>
      <c r="E17" s="202">
        <v>126141.77</v>
      </c>
      <c r="F17" s="23">
        <v>134076.72</v>
      </c>
      <c r="G17" s="23">
        <v>116164.14</v>
      </c>
      <c r="H17" s="22">
        <v>113571.07</v>
      </c>
      <c r="I17" s="23">
        <v>115023.27</v>
      </c>
      <c r="J17" s="23">
        <v>119220.45</v>
      </c>
      <c r="K17" s="22">
        <v>119100.82</v>
      </c>
      <c r="L17" s="23">
        <v>120093.57</v>
      </c>
      <c r="M17" s="41">
        <v>120759.85</v>
      </c>
    </row>
    <row r="18" spans="1:13" ht="11.1" customHeight="1">
      <c r="A18" s="28" t="s">
        <v>84</v>
      </c>
      <c r="B18" s="202">
        <v>55.39</v>
      </c>
      <c r="C18" s="214">
        <v>0</v>
      </c>
      <c r="D18" s="214">
        <v>3838.83</v>
      </c>
      <c r="E18" s="202">
        <v>3237.52</v>
      </c>
      <c r="F18" s="23">
        <v>5201.51</v>
      </c>
      <c r="G18" s="23">
        <v>4474.28</v>
      </c>
      <c r="H18" s="22">
        <v>3747.05</v>
      </c>
      <c r="I18" s="23">
        <v>3019.82</v>
      </c>
      <c r="J18" s="23">
        <v>2292.59</v>
      </c>
      <c r="K18" s="22">
        <v>1565.36</v>
      </c>
      <c r="L18" s="23">
        <v>838.13</v>
      </c>
      <c r="M18" s="41">
        <v>110.74</v>
      </c>
    </row>
    <row r="19" spans="1:13" ht="11.1" customHeight="1">
      <c r="A19" s="28" t="s">
        <v>91</v>
      </c>
      <c r="B19" s="202">
        <v>65510.8</v>
      </c>
      <c r="C19" s="214">
        <v>114545.25</v>
      </c>
      <c r="D19" s="214">
        <v>132543.25</v>
      </c>
      <c r="E19" s="202">
        <v>156458.01999999999</v>
      </c>
      <c r="F19" s="23">
        <v>43871.78</v>
      </c>
      <c r="G19" s="23">
        <v>38371.800000000003</v>
      </c>
      <c r="H19" s="22">
        <v>31620.05</v>
      </c>
      <c r="I19" s="23">
        <v>25699.73</v>
      </c>
      <c r="J19" s="23">
        <v>45285.29</v>
      </c>
      <c r="K19" s="22">
        <v>49275.13</v>
      </c>
      <c r="L19" s="23">
        <v>40100.42</v>
      </c>
      <c r="M19" s="41">
        <v>42109.78</v>
      </c>
    </row>
    <row r="20" spans="1:13" ht="11.1" customHeight="1">
      <c r="A20" s="28" t="s">
        <v>106</v>
      </c>
      <c r="B20" s="202">
        <v>14810.92</v>
      </c>
      <c r="C20" s="214">
        <v>45150.92</v>
      </c>
      <c r="D20" s="214">
        <v>41675.68</v>
      </c>
      <c r="E20" s="202">
        <v>23296.240000000002</v>
      </c>
      <c r="F20" s="23">
        <v>22045.919999999998</v>
      </c>
      <c r="G20" s="23">
        <v>14461.92</v>
      </c>
      <c r="H20" s="22">
        <v>15028.49</v>
      </c>
      <c r="I20" s="23">
        <v>15028.49</v>
      </c>
      <c r="J20" s="23">
        <v>21357.03</v>
      </c>
      <c r="K20" s="22">
        <v>9834.73</v>
      </c>
      <c r="L20" s="23">
        <v>9834.73</v>
      </c>
      <c r="M20" s="41">
        <v>13810.92</v>
      </c>
    </row>
    <row r="21" spans="1:13" ht="11.1" customHeight="1">
      <c r="A21" s="28" t="s">
        <v>92</v>
      </c>
      <c r="B21" s="202">
        <v>46118.09</v>
      </c>
      <c r="C21" s="214">
        <v>45625.13</v>
      </c>
      <c r="D21" s="214">
        <v>73029.259999999995</v>
      </c>
      <c r="E21" s="202">
        <v>114938.77</v>
      </c>
      <c r="F21" s="23">
        <v>88786.82</v>
      </c>
      <c r="G21" s="23">
        <v>95189.66</v>
      </c>
      <c r="H21" s="22">
        <v>109387.29</v>
      </c>
      <c r="I21" s="23">
        <v>112257.81</v>
      </c>
      <c r="J21" s="23">
        <v>115916.62</v>
      </c>
      <c r="K21" s="22">
        <v>117097.71</v>
      </c>
      <c r="L21" s="23">
        <v>105070.3</v>
      </c>
      <c r="M21" s="41">
        <v>86474.32</v>
      </c>
    </row>
    <row r="22" spans="1:13" ht="11.1" customHeight="1">
      <c r="A22" s="247" t="s">
        <v>31</v>
      </c>
      <c r="B22" s="204">
        <f t="shared" ref="B22:M22" si="3">SUM(B24:B26)</f>
        <v>0</v>
      </c>
      <c r="C22" s="204">
        <f t="shared" si="3"/>
        <v>0</v>
      </c>
      <c r="D22" s="204">
        <f t="shared" si="3"/>
        <v>0</v>
      </c>
      <c r="E22" s="204">
        <f t="shared" si="3"/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  <c r="K22" s="21">
        <f t="shared" si="3"/>
        <v>0</v>
      </c>
      <c r="L22" s="21">
        <f t="shared" si="3"/>
        <v>0</v>
      </c>
      <c r="M22" s="27">
        <f t="shared" si="3"/>
        <v>0</v>
      </c>
    </row>
    <row r="23" spans="1:13" ht="11.1" customHeight="1">
      <c r="A23" s="248"/>
      <c r="B23" s="204"/>
      <c r="C23" s="204"/>
      <c r="D23" s="204"/>
      <c r="E23" s="204"/>
      <c r="F23" s="21"/>
      <c r="G23" s="21"/>
      <c r="H23" s="21"/>
      <c r="I23" s="21"/>
      <c r="J23" s="21"/>
      <c r="K23" s="21"/>
      <c r="L23" s="21"/>
      <c r="M23" s="27"/>
    </row>
    <row r="24" spans="1:13" ht="11.1" customHeight="1">
      <c r="A24" s="26" t="s">
        <v>32</v>
      </c>
      <c r="B24" s="202">
        <v>0</v>
      </c>
      <c r="C24" s="202">
        <v>0</v>
      </c>
      <c r="D24" s="202">
        <v>0</v>
      </c>
      <c r="E24" s="20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42">
        <v>0</v>
      </c>
    </row>
    <row r="25" spans="1:13" ht="11.1" customHeight="1">
      <c r="A25" s="28"/>
      <c r="B25" s="202">
        <v>0</v>
      </c>
      <c r="C25" s="214">
        <v>0</v>
      </c>
      <c r="D25" s="214">
        <v>0</v>
      </c>
      <c r="E25" s="202">
        <v>0</v>
      </c>
      <c r="F25" s="23">
        <v>0</v>
      </c>
      <c r="G25" s="23">
        <v>0</v>
      </c>
      <c r="H25" s="22">
        <v>0</v>
      </c>
      <c r="I25" s="23">
        <v>0</v>
      </c>
      <c r="J25" s="23">
        <v>0</v>
      </c>
      <c r="K25" s="22">
        <v>0</v>
      </c>
      <c r="L25" s="23">
        <v>0</v>
      </c>
      <c r="M25" s="41">
        <v>0</v>
      </c>
    </row>
    <row r="26" spans="1:13" ht="11.1" customHeight="1">
      <c r="A26" s="12"/>
      <c r="B26" s="203">
        <v>0</v>
      </c>
      <c r="C26" s="203">
        <v>0</v>
      </c>
      <c r="D26" s="203">
        <v>0</v>
      </c>
      <c r="E26" s="203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29">
        <v>0</v>
      </c>
    </row>
    <row r="27" spans="1:13" ht="11.1" customHeight="1">
      <c r="A27" s="26" t="s">
        <v>33</v>
      </c>
      <c r="B27" s="204">
        <f>SUM(B28:B30)+B31</f>
        <v>3525507.61</v>
      </c>
      <c r="C27" s="204">
        <f t="shared" ref="C27:M27" si="4">SUM(C28:C30)+C31</f>
        <v>3519532.4799999991</v>
      </c>
      <c r="D27" s="204">
        <f t="shared" si="4"/>
        <v>3522274.1899999995</v>
      </c>
      <c r="E27" s="204">
        <f t="shared" si="4"/>
        <v>3511296.8999999994</v>
      </c>
      <c r="F27" s="21">
        <f t="shared" si="4"/>
        <v>3439176.5</v>
      </c>
      <c r="G27" s="21">
        <f t="shared" si="4"/>
        <v>3459574.06</v>
      </c>
      <c r="H27" s="21">
        <f t="shared" si="4"/>
        <v>3479496.93</v>
      </c>
      <c r="I27" s="21">
        <f t="shared" si="4"/>
        <v>3470707.39</v>
      </c>
      <c r="J27" s="21">
        <f t="shared" si="4"/>
        <v>3473890.8299999996</v>
      </c>
      <c r="K27" s="21">
        <f t="shared" si="4"/>
        <v>3511931.8699999996</v>
      </c>
      <c r="L27" s="21">
        <f t="shared" si="4"/>
        <v>3544733.58</v>
      </c>
      <c r="M27" s="21">
        <f t="shared" si="4"/>
        <v>3536294.8099999996</v>
      </c>
    </row>
    <row r="28" spans="1:13" ht="11.1" customHeight="1">
      <c r="A28" s="28" t="s">
        <v>5</v>
      </c>
      <c r="B28" s="202">
        <v>4518.0600000000004</v>
      </c>
      <c r="C28" s="214">
        <v>4518.0600000000004</v>
      </c>
      <c r="D28" s="214">
        <v>4518.0600000000004</v>
      </c>
      <c r="E28" s="202">
        <v>4518.0600000000004</v>
      </c>
      <c r="F28" s="23">
        <v>5142.79</v>
      </c>
      <c r="G28" s="23">
        <v>4518.0600000000004</v>
      </c>
      <c r="H28" s="22">
        <v>4518.0600000000004</v>
      </c>
      <c r="I28" s="23">
        <v>4518.0600000000004</v>
      </c>
      <c r="J28" s="23">
        <v>4518.0600000000004</v>
      </c>
      <c r="K28" s="22">
        <v>4518.0600000000004</v>
      </c>
      <c r="L28" s="23">
        <v>4518.0600000000004</v>
      </c>
      <c r="M28" s="41">
        <v>4518.0600000000004</v>
      </c>
    </row>
    <row r="29" spans="1:13" ht="11.1" customHeight="1">
      <c r="A29" s="28" t="s">
        <v>4</v>
      </c>
      <c r="B29" s="202">
        <v>4228410.6900000004</v>
      </c>
      <c r="C29" s="214">
        <v>4233286.05</v>
      </c>
      <c r="D29" s="214">
        <v>4247005.05</v>
      </c>
      <c r="E29" s="202">
        <v>4247005.05</v>
      </c>
      <c r="F29" s="23">
        <v>4057988.66</v>
      </c>
      <c r="G29" s="23">
        <v>4089088.66</v>
      </c>
      <c r="H29" s="22">
        <v>4119088.66</v>
      </c>
      <c r="I29" s="23">
        <v>4120387.66</v>
      </c>
      <c r="J29" s="23">
        <v>4133808.36</v>
      </c>
      <c r="K29" s="22">
        <v>4182492.36</v>
      </c>
      <c r="L29" s="23">
        <v>4226061.6900000004</v>
      </c>
      <c r="M29" s="41">
        <v>4228410.6900000004</v>
      </c>
    </row>
    <row r="30" spans="1:13" ht="11.1" customHeight="1">
      <c r="A30" s="84" t="s">
        <v>90</v>
      </c>
      <c r="B30" s="209">
        <v>2089.8000000000002</v>
      </c>
      <c r="C30" s="215">
        <v>2089.8000000000002</v>
      </c>
      <c r="D30" s="215">
        <v>2089.8000000000002</v>
      </c>
      <c r="E30" s="209">
        <v>2089.8000000000002</v>
      </c>
      <c r="F30" s="86">
        <v>2089.8000000000002</v>
      </c>
      <c r="G30" s="86">
        <v>2089.8000000000002</v>
      </c>
      <c r="H30" s="85">
        <v>2089.8000000000002</v>
      </c>
      <c r="I30" s="86">
        <v>2089.8000000000002</v>
      </c>
      <c r="J30" s="86">
        <v>2089.8000000000002</v>
      </c>
      <c r="K30" s="85">
        <v>2089.8000000000002</v>
      </c>
      <c r="L30" s="86">
        <v>2089.8000000000002</v>
      </c>
      <c r="M30" s="87">
        <v>2089.8000000000002</v>
      </c>
    </row>
    <row r="31" spans="1:13" ht="11.1" customHeight="1" thickBot="1">
      <c r="A31" s="46" t="s">
        <v>34</v>
      </c>
      <c r="B31" s="210">
        <v>-709510.94</v>
      </c>
      <c r="C31" s="216">
        <v>-720361.43</v>
      </c>
      <c r="D31" s="216">
        <v>-731338.72</v>
      </c>
      <c r="E31" s="210">
        <v>-742316.01</v>
      </c>
      <c r="F31" s="48">
        <v>-626044.75</v>
      </c>
      <c r="G31" s="48">
        <v>-636122.46</v>
      </c>
      <c r="H31" s="47">
        <v>-646199.59</v>
      </c>
      <c r="I31" s="48">
        <v>-656288.13</v>
      </c>
      <c r="J31" s="48">
        <v>-666525.39</v>
      </c>
      <c r="K31" s="47">
        <v>-677168.35</v>
      </c>
      <c r="L31" s="48">
        <v>-687935.97</v>
      </c>
      <c r="M31" s="49">
        <v>-698723.74</v>
      </c>
    </row>
    <row r="32" spans="1:13" ht="11.1" customHeight="1" thickBot="1">
      <c r="A32" s="43" t="s">
        <v>11</v>
      </c>
      <c r="B32" s="211">
        <f t="shared" ref="B32:M32" si="5">B7+B27</f>
        <v>5831428.25</v>
      </c>
      <c r="C32" s="211">
        <f t="shared" si="5"/>
        <v>5935046.7999999989</v>
      </c>
      <c r="D32" s="211">
        <f t="shared" si="5"/>
        <v>5947170.9899999993</v>
      </c>
      <c r="E32" s="211">
        <f t="shared" si="5"/>
        <v>6025183.75</v>
      </c>
      <c r="F32" s="45">
        <f t="shared" si="5"/>
        <v>4546964.0600000005</v>
      </c>
      <c r="G32" s="45">
        <f t="shared" si="5"/>
        <v>5798243.6799999997</v>
      </c>
      <c r="H32" s="44">
        <f t="shared" si="5"/>
        <v>5801166.54</v>
      </c>
      <c r="I32" s="44">
        <f t="shared" si="5"/>
        <v>5791369.4399999995</v>
      </c>
      <c r="J32" s="44">
        <f t="shared" si="5"/>
        <v>5872372.3699999992</v>
      </c>
      <c r="K32" s="44">
        <f t="shared" si="5"/>
        <v>5892910.3899999997</v>
      </c>
      <c r="L32" s="45">
        <f t="shared" si="5"/>
        <v>5942389.6400000006</v>
      </c>
      <c r="M32" s="45">
        <f t="shared" si="5"/>
        <v>5880173.4399999995</v>
      </c>
    </row>
    <row r="33" spans="1:13" ht="11.1" customHeight="1" thickBot="1">
      <c r="A33" s="103"/>
      <c r="B33" s="104"/>
      <c r="C33" s="104"/>
      <c r="D33" s="104"/>
      <c r="E33" s="104"/>
      <c r="F33" s="104"/>
      <c r="G33" s="105"/>
      <c r="H33" s="106"/>
      <c r="I33" s="14"/>
      <c r="J33" s="101"/>
      <c r="K33" s="101"/>
      <c r="L33" s="101"/>
      <c r="M33" s="101"/>
    </row>
    <row r="34" spans="1:13" ht="11.1" customHeight="1" thickBot="1">
      <c r="A34" s="228" t="s">
        <v>20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30"/>
    </row>
    <row r="35" spans="1:13" ht="11.1" customHeight="1" thickBot="1">
      <c r="A35" s="231" t="s">
        <v>22</v>
      </c>
      <c r="B35" s="184" t="s">
        <v>38</v>
      </c>
      <c r="C35" s="197" t="s">
        <v>39</v>
      </c>
      <c r="D35" s="197" t="s">
        <v>40</v>
      </c>
      <c r="E35" s="184" t="s">
        <v>41</v>
      </c>
      <c r="F35" s="20" t="s">
        <v>42</v>
      </c>
      <c r="G35" s="20" t="s">
        <v>43</v>
      </c>
      <c r="H35" s="102" t="s">
        <v>44</v>
      </c>
      <c r="I35" s="20" t="s">
        <v>45</v>
      </c>
      <c r="J35" s="20" t="s">
        <v>46</v>
      </c>
      <c r="K35" s="102" t="s">
        <v>47</v>
      </c>
      <c r="L35" s="20" t="s">
        <v>48</v>
      </c>
      <c r="M35" s="20" t="s">
        <v>49</v>
      </c>
    </row>
    <row r="36" spans="1:13" ht="11.1" customHeight="1" thickBot="1">
      <c r="A36" s="232"/>
      <c r="B36" s="212">
        <f t="shared" ref="B36:M36" si="6">B37</f>
        <v>384487.27</v>
      </c>
      <c r="C36" s="208">
        <f t="shared" si="6"/>
        <v>395062.80999999994</v>
      </c>
      <c r="D36" s="208">
        <f t="shared" si="6"/>
        <v>420684.75999999995</v>
      </c>
      <c r="E36" s="208">
        <f t="shared" si="6"/>
        <v>439874.35</v>
      </c>
      <c r="F36" s="24">
        <f t="shared" si="6"/>
        <v>409548.67</v>
      </c>
      <c r="G36" s="24">
        <f t="shared" si="6"/>
        <v>357356.47</v>
      </c>
      <c r="H36" s="24">
        <f t="shared" si="6"/>
        <v>357395.25</v>
      </c>
      <c r="I36" s="24">
        <f t="shared" si="6"/>
        <v>354567.27</v>
      </c>
      <c r="J36" s="24">
        <f t="shared" si="6"/>
        <v>404943.20999999996</v>
      </c>
      <c r="K36" s="24">
        <f t="shared" si="6"/>
        <v>433214.09</v>
      </c>
      <c r="L36" s="24">
        <f t="shared" si="6"/>
        <v>407762.46</v>
      </c>
      <c r="M36" s="25">
        <f t="shared" si="6"/>
        <v>405803.93999999994</v>
      </c>
    </row>
    <row r="37" spans="1:13" ht="11.1" customHeight="1">
      <c r="A37" s="63" t="s">
        <v>6</v>
      </c>
      <c r="B37" s="204">
        <f t="shared" ref="B37:M37" si="7">SUM(B38:B47)</f>
        <v>384487.27</v>
      </c>
      <c r="C37" s="204">
        <f t="shared" si="7"/>
        <v>395062.80999999994</v>
      </c>
      <c r="D37" s="204">
        <f t="shared" si="7"/>
        <v>420684.75999999995</v>
      </c>
      <c r="E37" s="204">
        <f t="shared" si="7"/>
        <v>439874.35</v>
      </c>
      <c r="F37" s="21">
        <f t="shared" si="7"/>
        <v>409548.67</v>
      </c>
      <c r="G37" s="21">
        <f t="shared" si="7"/>
        <v>357356.47</v>
      </c>
      <c r="H37" s="21">
        <f t="shared" si="7"/>
        <v>357395.25</v>
      </c>
      <c r="I37" s="21">
        <f t="shared" si="7"/>
        <v>354567.27</v>
      </c>
      <c r="J37" s="21">
        <f t="shared" si="7"/>
        <v>404943.20999999996</v>
      </c>
      <c r="K37" s="21">
        <f t="shared" si="7"/>
        <v>433214.09</v>
      </c>
      <c r="L37" s="21">
        <f t="shared" si="7"/>
        <v>407762.46</v>
      </c>
      <c r="M37" s="27">
        <f t="shared" si="7"/>
        <v>405803.93999999994</v>
      </c>
    </row>
    <row r="38" spans="1:13" ht="11.1" customHeight="1">
      <c r="A38" s="28" t="s">
        <v>7</v>
      </c>
      <c r="B38" s="202">
        <v>37815.49</v>
      </c>
      <c r="C38" s="214">
        <v>48679.69</v>
      </c>
      <c r="D38" s="203">
        <v>54221.99</v>
      </c>
      <c r="E38" s="202">
        <v>58936.83</v>
      </c>
      <c r="F38" s="23">
        <v>49971.18</v>
      </c>
      <c r="G38" s="10">
        <v>39524.39</v>
      </c>
      <c r="H38" s="22">
        <v>40991.03</v>
      </c>
      <c r="I38" s="23">
        <v>39737.339999999997</v>
      </c>
      <c r="J38" s="10">
        <v>74164.19</v>
      </c>
      <c r="K38" s="22">
        <v>81960.52</v>
      </c>
      <c r="L38" s="23">
        <v>68138.34</v>
      </c>
      <c r="M38" s="29">
        <v>51655.5</v>
      </c>
    </row>
    <row r="39" spans="1:13" ht="11.1" customHeight="1">
      <c r="A39" s="32" t="s">
        <v>27</v>
      </c>
      <c r="B39" s="202">
        <v>8466.56</v>
      </c>
      <c r="C39" s="214">
        <v>8420.49</v>
      </c>
      <c r="D39" s="203">
        <v>12291.65</v>
      </c>
      <c r="E39" s="202">
        <v>18402.2</v>
      </c>
      <c r="F39" s="23">
        <v>17077.689999999999</v>
      </c>
      <c r="G39" s="10">
        <v>8268</v>
      </c>
      <c r="H39" s="22">
        <v>6702.16</v>
      </c>
      <c r="I39" s="23">
        <v>6164.77</v>
      </c>
      <c r="J39" s="10">
        <v>8266.31</v>
      </c>
      <c r="K39" s="22">
        <v>7607.48</v>
      </c>
      <c r="L39" s="23">
        <v>7160.65</v>
      </c>
      <c r="M39" s="29">
        <v>15045.15</v>
      </c>
    </row>
    <row r="40" spans="1:13" ht="11.1" customHeight="1">
      <c r="A40" s="32" t="s">
        <v>127</v>
      </c>
      <c r="B40" s="202">
        <v>2797.6</v>
      </c>
      <c r="C40" s="214">
        <v>2797.6</v>
      </c>
      <c r="D40" s="203">
        <v>2562.34</v>
      </c>
      <c r="E40" s="202">
        <v>2562.34</v>
      </c>
      <c r="F40" s="23">
        <v>750</v>
      </c>
      <c r="G40" s="10">
        <v>1915.35</v>
      </c>
      <c r="H40" s="22">
        <v>750</v>
      </c>
      <c r="I40" s="23">
        <v>750</v>
      </c>
      <c r="J40" s="10">
        <v>750</v>
      </c>
      <c r="K40" s="22">
        <v>750</v>
      </c>
      <c r="L40" s="23">
        <v>985.26</v>
      </c>
      <c r="M40" s="29">
        <v>1980.05</v>
      </c>
    </row>
    <row r="41" spans="1:13" ht="11.1" customHeight="1">
      <c r="A41" s="33" t="s">
        <v>28</v>
      </c>
      <c r="B41" s="202">
        <v>26712.85</v>
      </c>
      <c r="C41" s="214">
        <v>31081.38</v>
      </c>
      <c r="D41" s="203">
        <v>32625.119999999999</v>
      </c>
      <c r="E41" s="202">
        <v>29128.86</v>
      </c>
      <c r="F41" s="23">
        <v>81094.14</v>
      </c>
      <c r="G41" s="10">
        <v>40185</v>
      </c>
      <c r="H41" s="22">
        <v>41445.129999999997</v>
      </c>
      <c r="I41" s="23">
        <v>31112.77</v>
      </c>
      <c r="J41" s="10">
        <v>38974.800000000003</v>
      </c>
      <c r="K41" s="22">
        <v>40868.39</v>
      </c>
      <c r="L41" s="23">
        <v>32946.410000000003</v>
      </c>
      <c r="M41" s="29">
        <v>37312.480000000003</v>
      </c>
    </row>
    <row r="42" spans="1:13" ht="11.1" customHeight="1">
      <c r="A42" s="28" t="s">
        <v>75</v>
      </c>
      <c r="B42" s="202">
        <v>255203.63</v>
      </c>
      <c r="C42" s="214">
        <v>255639.06</v>
      </c>
      <c r="D42" s="203">
        <v>261163.24</v>
      </c>
      <c r="E42" s="202">
        <v>265295.38</v>
      </c>
      <c r="F42" s="23">
        <v>222854.28</v>
      </c>
      <c r="G42" s="10">
        <v>224031.11</v>
      </c>
      <c r="H42" s="22">
        <v>227341.71</v>
      </c>
      <c r="I42" s="23">
        <v>232146.48</v>
      </c>
      <c r="J42" s="10">
        <v>240733.75</v>
      </c>
      <c r="K42" s="22">
        <v>249320.26</v>
      </c>
      <c r="L42" s="23">
        <v>250832.41</v>
      </c>
      <c r="M42" s="29">
        <v>254645.12</v>
      </c>
    </row>
    <row r="43" spans="1:13" ht="11.1" customHeight="1">
      <c r="A43" s="28" t="s">
        <v>76</v>
      </c>
      <c r="B43" s="202">
        <v>0</v>
      </c>
      <c r="C43" s="214">
        <v>0</v>
      </c>
      <c r="D43" s="203">
        <v>0</v>
      </c>
      <c r="E43" s="202">
        <v>0</v>
      </c>
      <c r="F43" s="23">
        <v>0</v>
      </c>
      <c r="G43" s="10">
        <v>0</v>
      </c>
      <c r="H43" s="22">
        <v>0</v>
      </c>
      <c r="I43" s="23">
        <v>0</v>
      </c>
      <c r="J43" s="10">
        <v>0</v>
      </c>
      <c r="K43" s="22">
        <v>0</v>
      </c>
      <c r="L43" s="23">
        <v>0</v>
      </c>
      <c r="M43" s="29">
        <v>0</v>
      </c>
    </row>
    <row r="44" spans="1:13" ht="11.1" customHeight="1">
      <c r="A44" s="28" t="s">
        <v>8</v>
      </c>
      <c r="B44" s="202">
        <v>17991.8</v>
      </c>
      <c r="C44" s="214">
        <v>11988.97</v>
      </c>
      <c r="D44" s="203">
        <v>20262.5</v>
      </c>
      <c r="E44" s="202">
        <v>26846.49</v>
      </c>
      <c r="F44" s="23">
        <v>9317.9699999999993</v>
      </c>
      <c r="G44" s="10">
        <v>14160.42</v>
      </c>
      <c r="H44" s="22">
        <v>10753.97</v>
      </c>
      <c r="I44" s="23">
        <v>14514.88</v>
      </c>
      <c r="J44" s="10">
        <v>10178.969999999999</v>
      </c>
      <c r="K44" s="22">
        <v>19140.5</v>
      </c>
      <c r="L44" s="23">
        <v>13336.5</v>
      </c>
      <c r="M44" s="29">
        <v>10178.969999999999</v>
      </c>
    </row>
    <row r="45" spans="1:13" ht="11.1" customHeight="1">
      <c r="A45" s="12" t="s">
        <v>14</v>
      </c>
      <c r="B45" s="202">
        <v>0</v>
      </c>
      <c r="C45" s="214">
        <v>0</v>
      </c>
      <c r="D45" s="220">
        <v>0</v>
      </c>
      <c r="E45" s="202">
        <v>0</v>
      </c>
      <c r="F45" s="23">
        <v>0</v>
      </c>
      <c r="G45" s="10">
        <v>0</v>
      </c>
      <c r="H45" s="22">
        <v>0</v>
      </c>
      <c r="I45" s="23">
        <v>0</v>
      </c>
      <c r="J45" s="10">
        <v>0</v>
      </c>
      <c r="K45" s="22">
        <v>0</v>
      </c>
      <c r="L45" s="23">
        <v>0</v>
      </c>
      <c r="M45" s="29"/>
    </row>
    <row r="46" spans="1:13" ht="11.1" customHeight="1">
      <c r="A46" s="81" t="s">
        <v>85</v>
      </c>
      <c r="B46" s="202">
        <v>35499.339999999997</v>
      </c>
      <c r="C46" s="214">
        <v>36455.620000000003</v>
      </c>
      <c r="D46" s="203">
        <v>37557.919999999998</v>
      </c>
      <c r="E46" s="202">
        <v>38702.25</v>
      </c>
      <c r="F46" s="23">
        <v>28483.41</v>
      </c>
      <c r="G46" s="10">
        <v>29272.2</v>
      </c>
      <c r="H46" s="22">
        <v>29411.25</v>
      </c>
      <c r="I46" s="23">
        <v>30141.03</v>
      </c>
      <c r="J46" s="10">
        <v>31875.19</v>
      </c>
      <c r="K46" s="22">
        <v>33566.94</v>
      </c>
      <c r="L46" s="23">
        <v>34362.89</v>
      </c>
      <c r="M46" s="29">
        <v>34986.67</v>
      </c>
    </row>
    <row r="47" spans="1:13" ht="11.1" customHeight="1">
      <c r="A47" s="82"/>
      <c r="B47" s="203">
        <v>0</v>
      </c>
      <c r="C47" s="203">
        <v>0</v>
      </c>
      <c r="D47" s="203">
        <v>0</v>
      </c>
      <c r="E47" s="203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29">
        <v>0</v>
      </c>
    </row>
    <row r="48" spans="1:13" ht="11.1" customHeight="1">
      <c r="A48" s="77" t="s">
        <v>30</v>
      </c>
      <c r="B48" s="206">
        <f>SUM(B49:B51)</f>
        <v>0</v>
      </c>
      <c r="C48" s="205">
        <f>SUM(C49:C51)</f>
        <v>0</v>
      </c>
      <c r="D48" s="206">
        <f>SUM(D49:D51)</f>
        <v>0</v>
      </c>
      <c r="E48" s="206">
        <f>SUM(E49:E51)</f>
        <v>0</v>
      </c>
      <c r="F48" s="67">
        <f t="shared" ref="F48:M48" si="8">SUM(F49:F51)</f>
        <v>0</v>
      </c>
      <c r="G48" s="67">
        <f t="shared" si="8"/>
        <v>0</v>
      </c>
      <c r="H48" s="67">
        <f t="shared" si="8"/>
        <v>0</v>
      </c>
      <c r="I48" s="67">
        <f t="shared" si="8"/>
        <v>0</v>
      </c>
      <c r="J48" s="67">
        <f t="shared" si="8"/>
        <v>0</v>
      </c>
      <c r="K48" s="67">
        <f t="shared" si="8"/>
        <v>0</v>
      </c>
      <c r="L48" s="67">
        <f t="shared" si="8"/>
        <v>0</v>
      </c>
      <c r="M48" s="67">
        <f t="shared" si="8"/>
        <v>0</v>
      </c>
    </row>
    <row r="49" spans="1:15" ht="11.1" customHeight="1">
      <c r="A49" s="12" t="s">
        <v>86</v>
      </c>
      <c r="B49" s="203">
        <v>0</v>
      </c>
      <c r="C49" s="203">
        <v>0</v>
      </c>
      <c r="D49" s="203">
        <v>0</v>
      </c>
      <c r="E49" s="203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29">
        <v>0</v>
      </c>
      <c r="O49" s="79"/>
    </row>
    <row r="50" spans="1:15" ht="11.1" customHeight="1">
      <c r="A50" s="12" t="s">
        <v>15</v>
      </c>
      <c r="B50" s="203">
        <v>0</v>
      </c>
      <c r="C50" s="217">
        <v>0</v>
      </c>
      <c r="D50" s="217">
        <v>0</v>
      </c>
      <c r="E50" s="203">
        <v>0</v>
      </c>
      <c r="F50" s="30">
        <v>0</v>
      </c>
      <c r="G50" s="30">
        <v>0</v>
      </c>
      <c r="H50" s="10">
        <v>0</v>
      </c>
      <c r="I50" s="30">
        <v>0</v>
      </c>
      <c r="J50" s="30">
        <v>0</v>
      </c>
      <c r="K50" s="10">
        <v>0</v>
      </c>
      <c r="L50" s="30">
        <v>0</v>
      </c>
      <c r="M50" s="83">
        <v>0</v>
      </c>
    </row>
    <row r="51" spans="1:15" ht="11.1" customHeight="1">
      <c r="A51" s="80"/>
      <c r="B51" s="203"/>
      <c r="C51" s="217"/>
      <c r="D51" s="217"/>
      <c r="E51" s="203"/>
      <c r="F51" s="30"/>
      <c r="G51" s="30"/>
      <c r="H51" s="10"/>
      <c r="I51" s="30"/>
      <c r="J51" s="30"/>
      <c r="K51" s="10"/>
      <c r="L51" s="30"/>
      <c r="M51" s="83"/>
    </row>
    <row r="52" spans="1:15" ht="11.1" customHeight="1">
      <c r="A52" s="80" t="s">
        <v>35</v>
      </c>
      <c r="B52" s="205">
        <f t="shared" ref="B52:M52" si="9">SUM(B53:B57)</f>
        <v>5446940.9799999995</v>
      </c>
      <c r="C52" s="205">
        <f t="shared" si="9"/>
        <v>5539983.9900000002</v>
      </c>
      <c r="D52" s="205">
        <f t="shared" si="9"/>
        <v>5526486.2299999995</v>
      </c>
      <c r="E52" s="205">
        <f t="shared" si="9"/>
        <v>5585309.3999999994</v>
      </c>
      <c r="F52" s="31">
        <f t="shared" si="9"/>
        <v>4137415.3899999997</v>
      </c>
      <c r="G52" s="31">
        <f t="shared" si="9"/>
        <v>5440887.21</v>
      </c>
      <c r="H52" s="31">
        <f t="shared" si="9"/>
        <v>5443771.29</v>
      </c>
      <c r="I52" s="31">
        <f t="shared" si="9"/>
        <v>5436802.1699999999</v>
      </c>
      <c r="J52" s="31">
        <f t="shared" si="9"/>
        <v>5467429.1600000001</v>
      </c>
      <c r="K52" s="31">
        <f t="shared" si="9"/>
        <v>5459696.2999999998</v>
      </c>
      <c r="L52" s="31">
        <f t="shared" si="9"/>
        <v>5534627.1799999997</v>
      </c>
      <c r="M52" s="31">
        <f t="shared" si="9"/>
        <v>5474369.5</v>
      </c>
    </row>
    <row r="53" spans="1:15" ht="11.1" customHeight="1">
      <c r="A53" s="12" t="s">
        <v>9</v>
      </c>
      <c r="B53" s="203">
        <v>2134435.25</v>
      </c>
      <c r="C53" s="203">
        <v>2134435.25</v>
      </c>
      <c r="D53" s="203">
        <v>2134435.25</v>
      </c>
      <c r="E53" s="203">
        <v>2134435.25</v>
      </c>
      <c r="F53" s="10">
        <v>2134435.25</v>
      </c>
      <c r="G53" s="10">
        <v>2134435.25</v>
      </c>
      <c r="H53" s="10">
        <v>2134435.25</v>
      </c>
      <c r="I53" s="10">
        <v>2134435.25</v>
      </c>
      <c r="J53" s="10">
        <v>2134435.25</v>
      </c>
      <c r="K53" s="10">
        <v>2134435.25</v>
      </c>
      <c r="L53" s="10">
        <v>2134435.25</v>
      </c>
      <c r="M53" s="10">
        <v>2134435.25</v>
      </c>
    </row>
    <row r="54" spans="1:15" ht="11.1" customHeight="1">
      <c r="A54" s="12" t="s">
        <v>36</v>
      </c>
      <c r="B54" s="203">
        <v>3283222.92</v>
      </c>
      <c r="C54" s="217">
        <v>3283702.76</v>
      </c>
      <c r="D54" s="217">
        <v>3283702.76</v>
      </c>
      <c r="E54" s="203">
        <v>3283702.76</v>
      </c>
      <c r="F54" s="30">
        <v>1790893.09</v>
      </c>
      <c r="G54" s="10">
        <v>1790893.09</v>
      </c>
      <c r="H54" s="10">
        <v>1790893.09</v>
      </c>
      <c r="I54" s="30">
        <v>1790893.09</v>
      </c>
      <c r="J54" s="30">
        <v>1790893.09</v>
      </c>
      <c r="K54" s="30">
        <v>1790893.09</v>
      </c>
      <c r="L54" s="30">
        <v>1790893.09</v>
      </c>
      <c r="M54" s="30">
        <v>1790893.09</v>
      </c>
    </row>
    <row r="55" spans="1:15" ht="11.1" customHeight="1">
      <c r="A55" s="12" t="s">
        <v>37</v>
      </c>
      <c r="B55" s="203">
        <v>29282.81</v>
      </c>
      <c r="C55" s="217">
        <v>121845.98</v>
      </c>
      <c r="D55" s="203">
        <v>108348.22</v>
      </c>
      <c r="E55" s="203">
        <v>167171.39000000001</v>
      </c>
      <c r="F55" s="30">
        <v>212087.05</v>
      </c>
      <c r="G55" s="10">
        <v>1515558.87</v>
      </c>
      <c r="H55" s="10">
        <v>1518442.95</v>
      </c>
      <c r="I55" s="30">
        <v>1511473.83</v>
      </c>
      <c r="J55" s="112">
        <v>1542100.82</v>
      </c>
      <c r="K55" s="10">
        <v>1534367.96</v>
      </c>
      <c r="L55" s="30">
        <v>1609298.84</v>
      </c>
      <c r="M55" s="29">
        <v>1549041.16</v>
      </c>
    </row>
    <row r="56" spans="1:15" ht="11.1" customHeight="1">
      <c r="A56" s="12"/>
      <c r="B56" s="203"/>
      <c r="C56" s="217"/>
      <c r="D56" s="221"/>
      <c r="E56" s="203">
        <v>0</v>
      </c>
      <c r="F56" s="30">
        <v>0</v>
      </c>
      <c r="G56" s="107"/>
      <c r="H56" s="10">
        <v>0</v>
      </c>
      <c r="I56" s="30">
        <v>0</v>
      </c>
      <c r="J56" s="108"/>
      <c r="K56" s="10">
        <v>0</v>
      </c>
      <c r="L56" s="30">
        <v>0</v>
      </c>
      <c r="M56" s="29"/>
    </row>
    <row r="57" spans="1:15" ht="11.1" customHeight="1">
      <c r="A57" s="12"/>
      <c r="B57" s="203"/>
      <c r="C57" s="217"/>
      <c r="D57" s="221"/>
      <c r="E57" s="203">
        <v>0</v>
      </c>
      <c r="F57" s="30">
        <v>0</v>
      </c>
      <c r="G57" s="107"/>
      <c r="H57" s="10">
        <v>0</v>
      </c>
      <c r="I57" s="30">
        <v>0</v>
      </c>
      <c r="J57" s="108"/>
      <c r="K57" s="10">
        <v>0</v>
      </c>
      <c r="L57" s="30">
        <v>0</v>
      </c>
      <c r="M57" s="109"/>
    </row>
    <row r="58" spans="1:15" ht="11.1" customHeight="1" thickBot="1">
      <c r="A58" s="36"/>
      <c r="B58" s="207"/>
      <c r="C58" s="218"/>
      <c r="D58" s="222"/>
      <c r="E58" s="207"/>
      <c r="F58" s="38"/>
      <c r="G58" s="110"/>
      <c r="H58" s="37"/>
      <c r="I58" s="38"/>
      <c r="J58" s="110"/>
      <c r="K58" s="37"/>
      <c r="L58" s="38"/>
      <c r="M58" s="111"/>
    </row>
    <row r="59" spans="1:15" ht="11.1" customHeight="1" thickBot="1">
      <c r="A59" s="50" t="s">
        <v>10</v>
      </c>
      <c r="B59" s="213">
        <f t="shared" ref="B59:M59" si="10">B36+B48+B52</f>
        <v>5831428.25</v>
      </c>
      <c r="C59" s="219">
        <f t="shared" si="10"/>
        <v>5935046.7999999998</v>
      </c>
      <c r="D59" s="219">
        <f t="shared" si="10"/>
        <v>5947170.9899999993</v>
      </c>
      <c r="E59" s="213">
        <f t="shared" si="10"/>
        <v>6025183.7499999991</v>
      </c>
      <c r="F59" s="52">
        <f t="shared" si="10"/>
        <v>4546964.0599999996</v>
      </c>
      <c r="G59" s="52">
        <f t="shared" si="10"/>
        <v>5798243.6799999997</v>
      </c>
      <c r="H59" s="51">
        <f t="shared" si="10"/>
        <v>5801166.54</v>
      </c>
      <c r="I59" s="52">
        <f t="shared" si="10"/>
        <v>5791369.4399999995</v>
      </c>
      <c r="J59" s="52">
        <f t="shared" si="10"/>
        <v>5872372.3700000001</v>
      </c>
      <c r="K59" s="51">
        <f t="shared" si="10"/>
        <v>5892910.3899999997</v>
      </c>
      <c r="L59" s="52">
        <f t="shared" si="10"/>
        <v>5942389.6399999997</v>
      </c>
      <c r="M59" s="52">
        <f t="shared" si="10"/>
        <v>5880173.4399999995</v>
      </c>
    </row>
    <row r="60" spans="1:15" ht="11.1" customHeight="1">
      <c r="C60" s="7"/>
      <c r="D60" s="7"/>
      <c r="E60" s="7"/>
      <c r="F60" s="7"/>
      <c r="G60" s="7"/>
      <c r="H60" s="7"/>
      <c r="I60" s="39"/>
      <c r="J60" s="40"/>
    </row>
    <row r="61" spans="1:15" ht="11.1" customHeight="1">
      <c r="C61" s="7"/>
      <c r="D61" s="7"/>
      <c r="E61" s="7"/>
      <c r="F61" s="7"/>
      <c r="G61" s="7"/>
      <c r="H61" s="7"/>
      <c r="I61" s="39"/>
      <c r="J61" s="40"/>
    </row>
    <row r="62" spans="1:15" ht="11.1" customHeight="1">
      <c r="C62" s="7"/>
      <c r="D62" s="7"/>
      <c r="E62" s="7"/>
      <c r="F62" s="7"/>
      <c r="G62" s="7"/>
      <c r="H62" s="7"/>
      <c r="I62" s="39"/>
      <c r="J62" s="40"/>
    </row>
    <row r="63" spans="1:15" ht="11.1" customHeight="1">
      <c r="C63" s="7"/>
      <c r="D63" s="7"/>
      <c r="E63" s="7"/>
      <c r="F63" s="7"/>
      <c r="G63" s="7"/>
      <c r="H63" s="7"/>
      <c r="I63" s="39"/>
      <c r="J63" s="40"/>
    </row>
    <row r="64" spans="1:15" ht="11.1" customHeight="1">
      <c r="C64" s="7"/>
      <c r="D64" s="7"/>
      <c r="E64" s="6"/>
      <c r="F64" s="6"/>
      <c r="G64" s="6"/>
      <c r="H64" s="6"/>
      <c r="I64" s="34"/>
      <c r="J64" s="53"/>
      <c r="K64" s="40"/>
    </row>
    <row r="65" spans="1:12" ht="11.1" customHeight="1">
      <c r="B65" s="58"/>
      <c r="C65" s="59"/>
      <c r="D65" s="59"/>
      <c r="E65" s="6"/>
      <c r="F65" s="6"/>
      <c r="G65" s="6"/>
      <c r="H65" s="61"/>
      <c r="I65" s="59"/>
      <c r="J65" s="62"/>
      <c r="K65" s="40"/>
    </row>
    <row r="66" spans="1:12" ht="11.1" customHeight="1">
      <c r="B66" s="236" t="s">
        <v>88</v>
      </c>
      <c r="C66" s="236"/>
      <c r="D66" s="236"/>
      <c r="E66" s="19"/>
      <c r="F66" s="19"/>
      <c r="H66" s="237" t="s">
        <v>87</v>
      </c>
      <c r="I66" s="238"/>
      <c r="J66" s="238"/>
      <c r="K66" s="40"/>
    </row>
    <row r="67" spans="1:12" ht="11.1" customHeight="1">
      <c r="B67" s="235" t="s">
        <v>13</v>
      </c>
      <c r="C67" s="235"/>
      <c r="D67" s="235"/>
      <c r="E67" s="8"/>
      <c r="F67" s="8"/>
      <c r="H67" s="235" t="s">
        <v>21</v>
      </c>
      <c r="I67" s="235"/>
      <c r="J67" s="235"/>
      <c r="K67" s="40"/>
    </row>
    <row r="68" spans="1:12" ht="11.1" customHeight="1">
      <c r="C68" s="8"/>
      <c r="D68" s="8"/>
      <c r="E68" s="8"/>
      <c r="F68" s="8"/>
      <c r="G68" s="8"/>
      <c r="H68" s="11"/>
      <c r="I68" s="11"/>
      <c r="J68" s="2"/>
      <c r="K68" s="40"/>
    </row>
    <row r="69" spans="1:12" ht="11.1" customHeight="1">
      <c r="C69" s="8"/>
      <c r="D69" s="8"/>
      <c r="E69" s="8"/>
      <c r="F69" s="8"/>
      <c r="G69" s="8"/>
      <c r="H69" s="11"/>
      <c r="I69" s="11"/>
      <c r="J69" s="2"/>
      <c r="K69" s="40"/>
    </row>
    <row r="70" spans="1:12" ht="11.1" customHeight="1">
      <c r="C70" s="8"/>
      <c r="D70" s="8"/>
      <c r="E70" s="8"/>
      <c r="F70" s="8"/>
      <c r="G70" s="8"/>
      <c r="H70" s="11"/>
      <c r="I70" s="11"/>
      <c r="J70" s="2"/>
      <c r="K70" s="55"/>
    </row>
    <row r="71" spans="1:12" ht="11.1" customHeight="1">
      <c r="C71" s="8"/>
      <c r="D71" s="8"/>
      <c r="E71" s="8"/>
      <c r="F71" s="8"/>
      <c r="G71" s="8"/>
      <c r="H71" s="11"/>
      <c r="I71" s="11"/>
      <c r="J71" s="2"/>
      <c r="K71" s="55"/>
    </row>
    <row r="72" spans="1:12" ht="11.1" customHeight="1">
      <c r="C72" s="8"/>
      <c r="D72" s="8"/>
      <c r="E72" s="60"/>
      <c r="F72" s="60"/>
      <c r="G72" s="60"/>
      <c r="H72" s="11"/>
      <c r="I72" s="35"/>
      <c r="J72" s="5"/>
      <c r="K72" s="55"/>
    </row>
    <row r="73" spans="1:12" ht="11.1" customHeight="1">
      <c r="C73" s="9"/>
      <c r="D73" s="9"/>
      <c r="E73" s="235" t="s">
        <v>12</v>
      </c>
      <c r="F73" s="235"/>
      <c r="G73" s="235"/>
      <c r="H73" s="11"/>
      <c r="I73" s="35"/>
      <c r="J73" s="40"/>
      <c r="K73" s="55"/>
    </row>
    <row r="74" spans="1:12" ht="11.1" customHeight="1">
      <c r="C74" s="9"/>
      <c r="D74" s="9"/>
      <c r="E74" s="235" t="s">
        <v>16</v>
      </c>
      <c r="F74" s="235"/>
      <c r="G74" s="235"/>
      <c r="H74" s="56"/>
      <c r="I74" s="35"/>
      <c r="J74" s="40"/>
      <c r="K74" s="55"/>
    </row>
    <row r="75" spans="1:12" ht="15">
      <c r="A75" s="4"/>
      <c r="B75" s="4"/>
      <c r="C75" s="57"/>
      <c r="D75" s="57"/>
      <c r="E75" s="54"/>
      <c r="F75" s="54"/>
      <c r="G75" s="54"/>
      <c r="H75" s="54"/>
      <c r="I75" s="15"/>
      <c r="J75" s="15"/>
      <c r="K75" s="55"/>
      <c r="L75" s="16"/>
    </row>
    <row r="76" spans="1:12" ht="15">
      <c r="A76" s="4"/>
      <c r="B76" s="4"/>
      <c r="C76" s="4"/>
      <c r="D76" s="4"/>
      <c r="E76" s="1"/>
      <c r="F76" s="1"/>
      <c r="G76" s="1"/>
      <c r="H76" s="1"/>
      <c r="I76" s="15"/>
      <c r="J76" s="15"/>
      <c r="K76" s="18"/>
    </row>
    <row r="77" spans="1:12" ht="15">
      <c r="A77" s="4"/>
      <c r="B77" s="4"/>
      <c r="C77" s="4"/>
      <c r="D77" s="4"/>
      <c r="I77" s="15"/>
      <c r="J77" s="16"/>
      <c r="K77" s="18"/>
    </row>
    <row r="78" spans="1:12" ht="15">
      <c r="A78" s="4"/>
      <c r="B78" s="4"/>
      <c r="C78" s="13"/>
      <c r="D78" s="13"/>
      <c r="I78" s="15"/>
      <c r="K78" s="16"/>
    </row>
    <row r="79" spans="1:12" ht="15">
      <c r="A79" s="4"/>
      <c r="B79" s="4"/>
      <c r="C79" s="3"/>
      <c r="D79" s="3"/>
      <c r="I79" s="15"/>
    </row>
    <row r="80" spans="1:12" ht="15">
      <c r="A80" s="4"/>
      <c r="B80" s="4"/>
      <c r="C80" s="4"/>
      <c r="D80" s="4"/>
      <c r="I80" s="15"/>
    </row>
    <row r="81" spans="1:9" ht="15">
      <c r="A81" s="4"/>
      <c r="B81" s="4"/>
      <c r="C81" s="4"/>
      <c r="D81" s="4"/>
      <c r="I81" s="16"/>
    </row>
    <row r="82" spans="1:9" ht="15">
      <c r="A82" s="4"/>
      <c r="B82" s="4"/>
      <c r="C82" s="4"/>
      <c r="D82" s="4"/>
    </row>
    <row r="83" spans="1:9" ht="15">
      <c r="A83" s="4"/>
      <c r="B83" s="4"/>
      <c r="C83" s="4"/>
      <c r="D83" s="4"/>
      <c r="I83" s="17"/>
    </row>
    <row r="84" spans="1:9">
      <c r="I84" s="17"/>
    </row>
    <row r="85" spans="1:9">
      <c r="I85" s="14"/>
    </row>
  </sheetData>
  <mergeCells count="15">
    <mergeCell ref="A1:M1"/>
    <mergeCell ref="A2:M2"/>
    <mergeCell ref="A3:M3"/>
    <mergeCell ref="A4:M4"/>
    <mergeCell ref="A22:A23"/>
    <mergeCell ref="A5:M5"/>
    <mergeCell ref="A34:M34"/>
    <mergeCell ref="A35:A36"/>
    <mergeCell ref="A6:A7"/>
    <mergeCell ref="E73:G73"/>
    <mergeCell ref="E74:G74"/>
    <mergeCell ref="B66:D66"/>
    <mergeCell ref="B67:D67"/>
    <mergeCell ref="H66:J66"/>
    <mergeCell ref="H67:J67"/>
  </mergeCells>
  <phoneticPr fontId="0" type="noConversion"/>
  <pageMargins left="0.59055118110236227" right="0.39370078740157483" top="0.39370078740157483" bottom="0.78740157480314965" header="0.51181102362204722" footer="0.51181102362204722"/>
  <pageSetup paperSize="9" scale="64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8"/>
  <sheetViews>
    <sheetView tabSelected="1" topLeftCell="A22" workbookViewId="0">
      <selection activeCell="E37" sqref="E37:E69"/>
    </sheetView>
  </sheetViews>
  <sheetFormatPr defaultRowHeight="12.75"/>
  <cols>
    <col min="1" max="1" width="36.140625" customWidth="1"/>
    <col min="2" max="2" width="13.5703125" customWidth="1"/>
    <col min="3" max="3" width="12.5703125" customWidth="1"/>
    <col min="4" max="4" width="13.140625" customWidth="1"/>
    <col min="5" max="5" width="13" customWidth="1"/>
    <col min="6" max="6" width="13.85546875" customWidth="1"/>
    <col min="7" max="7" width="12.140625" customWidth="1"/>
    <col min="8" max="8" width="12" customWidth="1"/>
    <col min="9" max="9" width="12.28515625" customWidth="1"/>
    <col min="10" max="10" width="11" customWidth="1"/>
    <col min="11" max="11" width="12.5703125" customWidth="1"/>
    <col min="12" max="12" width="12.42578125" customWidth="1"/>
    <col min="13" max="13" width="12.7109375" customWidth="1"/>
    <col min="14" max="14" width="13.42578125" customWidth="1"/>
    <col min="15" max="15" width="14.140625" style="73" customWidth="1"/>
    <col min="16" max="16" width="19.42578125" customWidth="1"/>
    <col min="17" max="17" width="18.5703125" customWidth="1"/>
  </cols>
  <sheetData>
    <row r="1" spans="1:17" ht="11.1" customHeight="1">
      <c r="A1" s="233" t="s">
        <v>23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</row>
    <row r="2" spans="1:17" ht="11.1" customHeight="1">
      <c r="A2" s="241" t="s">
        <v>109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</row>
    <row r="3" spans="1:17" ht="11.1" customHeight="1">
      <c r="A3" s="241" t="s">
        <v>24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</row>
    <row r="4" spans="1:17" ht="11.1" customHeight="1" thickBot="1">
      <c r="A4" s="244" t="s">
        <v>123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1:17" ht="11.1" customHeight="1" thickBot="1">
      <c r="A5" s="249" t="s">
        <v>103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</row>
    <row r="6" spans="1:17" ht="11.1" customHeight="1" thickBot="1">
      <c r="A6" s="101"/>
      <c r="B6" s="184" t="s">
        <v>38</v>
      </c>
      <c r="C6" s="197" t="s">
        <v>39</v>
      </c>
      <c r="D6" s="197" t="s">
        <v>40</v>
      </c>
      <c r="E6" s="184" t="s">
        <v>41</v>
      </c>
      <c r="F6" s="20" t="s">
        <v>42</v>
      </c>
      <c r="G6" s="20" t="s">
        <v>43</v>
      </c>
      <c r="H6" s="131" t="s">
        <v>44</v>
      </c>
      <c r="I6" s="20" t="s">
        <v>45</v>
      </c>
      <c r="J6" s="20" t="s">
        <v>46</v>
      </c>
      <c r="K6" s="131" t="s">
        <v>47</v>
      </c>
      <c r="L6" s="20" t="s">
        <v>48</v>
      </c>
      <c r="M6" s="20" t="s">
        <v>49</v>
      </c>
      <c r="N6" s="72" t="s">
        <v>80</v>
      </c>
    </row>
    <row r="7" spans="1:17" ht="11.1" customHeight="1" thickBot="1">
      <c r="A7" s="71" t="s">
        <v>50</v>
      </c>
      <c r="B7" s="185">
        <f>B31</f>
        <v>249377.25999999995</v>
      </c>
      <c r="C7" s="185">
        <f t="shared" ref="C7:M7" si="0">C31</f>
        <v>294955.98</v>
      </c>
      <c r="D7" s="185">
        <f t="shared" si="0"/>
        <v>217919.5</v>
      </c>
      <c r="E7" s="185">
        <f t="shared" si="0"/>
        <v>302406.59999999998</v>
      </c>
      <c r="F7" s="132">
        <f t="shared" si="0"/>
        <v>266086.15999999997</v>
      </c>
      <c r="G7" s="132">
        <f t="shared" si="0"/>
        <v>268520.23</v>
      </c>
      <c r="H7" s="132">
        <f t="shared" si="0"/>
        <v>240296.95</v>
      </c>
      <c r="I7" s="132">
        <f t="shared" si="0"/>
        <v>219895.37</v>
      </c>
      <c r="J7" s="132">
        <f t="shared" si="0"/>
        <v>306424.51</v>
      </c>
      <c r="K7" s="132">
        <f t="shared" si="0"/>
        <v>261389.6</v>
      </c>
      <c r="L7" s="132">
        <f t="shared" si="0"/>
        <v>313037.53000000003</v>
      </c>
      <c r="M7" s="133">
        <f t="shared" si="0"/>
        <v>251678.99</v>
      </c>
      <c r="N7" s="134">
        <f t="shared" ref="N7:N33" si="1">SUM(B7:M7)</f>
        <v>3191988.6799999997</v>
      </c>
    </row>
    <row r="8" spans="1:17" ht="11.1" customHeight="1">
      <c r="A8" s="70" t="s">
        <v>51</v>
      </c>
      <c r="B8" s="186">
        <v>51601.64</v>
      </c>
      <c r="C8" s="186">
        <v>83254.399999999994</v>
      </c>
      <c r="D8" s="186">
        <v>53467.32</v>
      </c>
      <c r="E8" s="186">
        <v>56628.7</v>
      </c>
      <c r="F8" s="135">
        <v>51763.839999999997</v>
      </c>
      <c r="G8" s="135">
        <v>50352.68</v>
      </c>
      <c r="H8" s="135">
        <v>49689.47</v>
      </c>
      <c r="I8" s="135">
        <v>50100.63</v>
      </c>
      <c r="J8" s="135">
        <v>51107.63</v>
      </c>
      <c r="K8" s="135">
        <v>50041.9</v>
      </c>
      <c r="L8" s="135">
        <v>136117.84</v>
      </c>
      <c r="M8" s="136">
        <v>54771.35</v>
      </c>
      <c r="N8" s="137">
        <f t="shared" si="1"/>
        <v>738897.4</v>
      </c>
    </row>
    <row r="9" spans="1:17" ht="11.1" customHeight="1">
      <c r="A9" s="28" t="s">
        <v>52</v>
      </c>
      <c r="B9" s="187">
        <v>3963.2</v>
      </c>
      <c r="C9" s="198">
        <v>4373.71</v>
      </c>
      <c r="D9" s="198">
        <v>3483.71</v>
      </c>
      <c r="E9" s="187">
        <v>3886.21</v>
      </c>
      <c r="F9" s="139">
        <v>2979</v>
      </c>
      <c r="G9" s="139">
        <v>3838.31</v>
      </c>
      <c r="H9" s="138">
        <v>2025.02</v>
      </c>
      <c r="I9" s="139">
        <v>2066.0300000000002</v>
      </c>
      <c r="J9" s="139">
        <v>2121.0300000000002</v>
      </c>
      <c r="K9" s="138">
        <v>2174.7199999999998</v>
      </c>
      <c r="L9" s="139">
        <v>1124.4100000000001</v>
      </c>
      <c r="M9" s="140">
        <v>2702.11</v>
      </c>
      <c r="N9" s="141">
        <f t="shared" si="1"/>
        <v>34737.46</v>
      </c>
    </row>
    <row r="10" spans="1:17" ht="11.1" customHeight="1">
      <c r="A10" s="84" t="s">
        <v>98</v>
      </c>
      <c r="B10" s="188">
        <v>13217.23</v>
      </c>
      <c r="C10" s="199">
        <v>20030.32</v>
      </c>
      <c r="D10" s="199">
        <v>13487.89</v>
      </c>
      <c r="E10" s="188">
        <v>13487.89</v>
      </c>
      <c r="F10" s="143">
        <v>10703.61</v>
      </c>
      <c r="G10" s="143">
        <v>10785.63</v>
      </c>
      <c r="H10" s="142">
        <v>11851.89</v>
      </c>
      <c r="I10" s="143">
        <v>11810.88</v>
      </c>
      <c r="J10" s="143">
        <v>11851.89</v>
      </c>
      <c r="K10" s="142">
        <v>11851.89</v>
      </c>
      <c r="L10" s="143">
        <v>20989.58</v>
      </c>
      <c r="M10" s="144">
        <v>13627.01</v>
      </c>
      <c r="N10" s="141">
        <f t="shared" si="1"/>
        <v>163695.71000000002</v>
      </c>
    </row>
    <row r="11" spans="1:17" ht="11.1" customHeight="1" thickBot="1">
      <c r="A11" s="100" t="s">
        <v>107</v>
      </c>
      <c r="B11" s="188">
        <v>788</v>
      </c>
      <c r="C11" s="199">
        <v>0</v>
      </c>
      <c r="D11" s="199">
        <v>880</v>
      </c>
      <c r="E11" s="188">
        <v>0</v>
      </c>
      <c r="F11" s="143">
        <v>394</v>
      </c>
      <c r="G11" s="143">
        <v>0</v>
      </c>
      <c r="H11" s="142">
        <v>0</v>
      </c>
      <c r="I11" s="143">
        <v>0</v>
      </c>
      <c r="J11" s="143">
        <v>788</v>
      </c>
      <c r="K11" s="143">
        <v>788</v>
      </c>
      <c r="L11" s="143">
        <v>1576</v>
      </c>
      <c r="M11" s="144">
        <v>0</v>
      </c>
      <c r="N11" s="145">
        <f t="shared" si="1"/>
        <v>5214</v>
      </c>
    </row>
    <row r="12" spans="1:17" ht="11.1" customHeight="1" thickBot="1">
      <c r="A12" s="113" t="s">
        <v>79</v>
      </c>
      <c r="B12" s="189">
        <f t="shared" ref="B12:H12" si="2">SUM(B8:B11)</f>
        <v>69570.069999999992</v>
      </c>
      <c r="C12" s="189">
        <f t="shared" si="2"/>
        <v>107658.43</v>
      </c>
      <c r="D12" s="189">
        <f t="shared" si="2"/>
        <v>71318.92</v>
      </c>
      <c r="E12" s="189">
        <f t="shared" si="2"/>
        <v>74002.799999999988</v>
      </c>
      <c r="F12" s="146">
        <f t="shared" si="2"/>
        <v>65840.45</v>
      </c>
      <c r="G12" s="146">
        <f t="shared" si="2"/>
        <v>64976.619999999995</v>
      </c>
      <c r="H12" s="146">
        <f t="shared" si="2"/>
        <v>63566.38</v>
      </c>
      <c r="I12" s="146">
        <f>SUM(I8+I9+I10)</f>
        <v>63977.539999999994</v>
      </c>
      <c r="J12" s="146">
        <f>SUM(J8+J9+J10+J11)</f>
        <v>65868.549999999988</v>
      </c>
      <c r="K12" s="146">
        <f>SUM(K8+K9+K10+K11)</f>
        <v>64856.51</v>
      </c>
      <c r="L12" s="146">
        <f>SUM(L8+L9+L10+L11)</f>
        <v>159807.83000000002</v>
      </c>
      <c r="M12" s="147">
        <f>SUM(M8+M9+M10+M11)</f>
        <v>71100.47</v>
      </c>
      <c r="N12" s="148">
        <f t="shared" si="1"/>
        <v>942544.57000000007</v>
      </c>
    </row>
    <row r="13" spans="1:17" ht="11.1" customHeight="1">
      <c r="A13" s="78" t="s">
        <v>53</v>
      </c>
      <c r="B13" s="190">
        <v>1144</v>
      </c>
      <c r="C13" s="190">
        <v>2575</v>
      </c>
      <c r="D13" s="190">
        <v>2049</v>
      </c>
      <c r="E13" s="190">
        <v>1069</v>
      </c>
      <c r="F13" s="149">
        <v>620</v>
      </c>
      <c r="G13" s="149">
        <v>200</v>
      </c>
      <c r="H13" s="149">
        <v>1055</v>
      </c>
      <c r="I13" s="149">
        <v>340</v>
      </c>
      <c r="J13" s="149">
        <v>490</v>
      </c>
      <c r="K13" s="149">
        <v>1000</v>
      </c>
      <c r="L13" s="149">
        <v>1045</v>
      </c>
      <c r="M13" s="150">
        <v>1590</v>
      </c>
      <c r="N13" s="137">
        <f t="shared" si="1"/>
        <v>13177</v>
      </c>
      <c r="O13" s="69"/>
    </row>
    <row r="14" spans="1:17" ht="11.1" customHeight="1">
      <c r="A14" s="28" t="s">
        <v>54</v>
      </c>
      <c r="B14" s="187">
        <v>14378.37</v>
      </c>
      <c r="C14" s="187">
        <v>18626</v>
      </c>
      <c r="D14" s="187">
        <v>7420</v>
      </c>
      <c r="E14" s="187">
        <v>5650</v>
      </c>
      <c r="F14" s="138">
        <f>29040+6300+1850</f>
        <v>37190</v>
      </c>
      <c r="G14" s="138">
        <f>11800+875+1500</f>
        <v>14175</v>
      </c>
      <c r="H14" s="138">
        <f>22205+2000+370</f>
        <v>24575</v>
      </c>
      <c r="I14" s="138">
        <f>5150+700+3975</f>
        <v>9825</v>
      </c>
      <c r="J14" s="138">
        <f>700+43400+5300+2360</f>
        <v>51760</v>
      </c>
      <c r="K14" s="138">
        <f>15665+500+11502</f>
        <v>27667</v>
      </c>
      <c r="L14" s="138">
        <f>3300+5235+1390</f>
        <v>9925</v>
      </c>
      <c r="M14" s="151">
        <f>19460+1600+560</f>
        <v>21620</v>
      </c>
      <c r="N14" s="141">
        <f t="shared" si="1"/>
        <v>242811.37</v>
      </c>
      <c r="P14" s="55"/>
      <c r="Q14" s="40"/>
    </row>
    <row r="15" spans="1:17" ht="11.1" customHeight="1">
      <c r="A15" s="28" t="s">
        <v>55</v>
      </c>
      <c r="B15" s="187">
        <f>12337.88+49030.65</f>
        <v>61368.53</v>
      </c>
      <c r="C15" s="198">
        <f>11367.52+50762.7</f>
        <v>62130.22</v>
      </c>
      <c r="D15" s="198">
        <f>12481.61+52851.3</f>
        <v>65332.91</v>
      </c>
      <c r="E15" s="187">
        <f>13015.74+49740.85</f>
        <v>62756.59</v>
      </c>
      <c r="F15" s="139">
        <v>67522.5</v>
      </c>
      <c r="G15" s="139">
        <v>70258.67</v>
      </c>
      <c r="H15" s="138">
        <v>71468.259999999995</v>
      </c>
      <c r="I15" s="139">
        <v>65106.38</v>
      </c>
      <c r="J15" s="139">
        <v>71764.070000000007</v>
      </c>
      <c r="K15" s="138">
        <v>69646.12</v>
      </c>
      <c r="L15" s="139">
        <v>63423.3</v>
      </c>
      <c r="M15" s="140">
        <v>67144.09</v>
      </c>
      <c r="N15" s="141">
        <f t="shared" si="1"/>
        <v>797921.6399999999</v>
      </c>
      <c r="P15" s="55"/>
      <c r="Q15" s="40"/>
    </row>
    <row r="16" spans="1:17" ht="11.1" customHeight="1">
      <c r="A16" s="12" t="s">
        <v>56</v>
      </c>
      <c r="B16" s="187">
        <v>9451.57</v>
      </c>
      <c r="C16" s="198">
        <v>0</v>
      </c>
      <c r="D16" s="198">
        <v>4195.62</v>
      </c>
      <c r="E16" s="187">
        <v>6420.19</v>
      </c>
      <c r="F16" s="139">
        <v>16919.259999999998</v>
      </c>
      <c r="G16" s="139">
        <v>39417.120000000003</v>
      </c>
      <c r="H16" s="138">
        <v>1914.77</v>
      </c>
      <c r="I16" s="139">
        <v>6677.59</v>
      </c>
      <c r="J16" s="139">
        <v>17296.18</v>
      </c>
      <c r="K16" s="138">
        <v>0</v>
      </c>
      <c r="L16" s="139">
        <v>1877.59</v>
      </c>
      <c r="M16" s="140">
        <v>0</v>
      </c>
      <c r="N16" s="141">
        <f t="shared" si="1"/>
        <v>104169.89000000001</v>
      </c>
      <c r="P16" s="55"/>
      <c r="Q16" s="40"/>
    </row>
    <row r="17" spans="1:18" ht="11.1" customHeight="1">
      <c r="A17" s="28" t="s">
        <v>57</v>
      </c>
      <c r="B17" s="187">
        <v>11495.96</v>
      </c>
      <c r="C17" s="198">
        <v>6030.49</v>
      </c>
      <c r="D17" s="198">
        <v>5001.1400000000003</v>
      </c>
      <c r="E17" s="187">
        <v>4199.25</v>
      </c>
      <c r="F17" s="139">
        <v>5240.57</v>
      </c>
      <c r="G17" s="139">
        <v>2800.44</v>
      </c>
      <c r="H17" s="138">
        <v>2080.48</v>
      </c>
      <c r="I17" s="139">
        <v>2320.09</v>
      </c>
      <c r="J17" s="139">
        <v>1855.33</v>
      </c>
      <c r="K17" s="138">
        <v>4288.58</v>
      </c>
      <c r="L17" s="139">
        <v>3820.81</v>
      </c>
      <c r="M17" s="140">
        <v>6704.4</v>
      </c>
      <c r="N17" s="141">
        <f t="shared" si="1"/>
        <v>55837.54</v>
      </c>
      <c r="P17" s="55"/>
      <c r="Q17" s="40"/>
    </row>
    <row r="18" spans="1:18" ht="11.1" customHeight="1">
      <c r="A18" s="28" t="s">
        <v>58</v>
      </c>
      <c r="B18" s="187">
        <v>12814.09</v>
      </c>
      <c r="C18" s="198">
        <v>8422.57</v>
      </c>
      <c r="D18" s="198">
        <v>7726.1</v>
      </c>
      <c r="E18" s="187">
        <v>7500.9</v>
      </c>
      <c r="F18" s="139">
        <v>12243.46</v>
      </c>
      <c r="G18" s="139">
        <v>10792.44</v>
      </c>
      <c r="H18" s="138">
        <v>14619.53</v>
      </c>
      <c r="I18" s="139">
        <v>9822.4500000000007</v>
      </c>
      <c r="J18" s="139">
        <v>13941.47</v>
      </c>
      <c r="K18" s="138">
        <v>9906.52</v>
      </c>
      <c r="L18" s="139">
        <v>12330.34</v>
      </c>
      <c r="M18" s="140">
        <v>15290</v>
      </c>
      <c r="N18" s="141">
        <f t="shared" si="1"/>
        <v>135409.87</v>
      </c>
      <c r="P18" s="55"/>
      <c r="Q18" s="40"/>
    </row>
    <row r="19" spans="1:18" ht="11.1" customHeight="1">
      <c r="A19" s="68" t="s">
        <v>119</v>
      </c>
      <c r="B19" s="187">
        <v>0</v>
      </c>
      <c r="C19" s="198">
        <v>0</v>
      </c>
      <c r="D19" s="198">
        <v>0</v>
      </c>
      <c r="E19" s="187">
        <v>52171.4</v>
      </c>
      <c r="F19" s="139">
        <v>0</v>
      </c>
      <c r="G19" s="139">
        <v>0</v>
      </c>
      <c r="H19" s="138">
        <v>0</v>
      </c>
      <c r="I19" s="139">
        <v>0</v>
      </c>
      <c r="J19" s="139">
        <v>0</v>
      </c>
      <c r="K19" s="138">
        <v>0</v>
      </c>
      <c r="L19" s="139">
        <v>0</v>
      </c>
      <c r="M19" s="140">
        <v>0</v>
      </c>
      <c r="N19" s="141">
        <f t="shared" si="1"/>
        <v>52171.4</v>
      </c>
      <c r="P19" s="40"/>
      <c r="Q19" s="92"/>
      <c r="R19" s="91"/>
    </row>
    <row r="20" spans="1:18" ht="11.1" customHeight="1">
      <c r="A20" s="28" t="s">
        <v>59</v>
      </c>
      <c r="B20" s="187">
        <v>19131.27</v>
      </c>
      <c r="C20" s="187">
        <v>16745.990000000002</v>
      </c>
      <c r="D20" s="187">
        <v>19753.419999999998</v>
      </c>
      <c r="E20" s="187">
        <v>18559.810000000001</v>
      </c>
      <c r="F20" s="138">
        <v>4920.21</v>
      </c>
      <c r="G20" s="138">
        <v>6655.43</v>
      </c>
      <c r="H20" s="138">
        <v>20802.18</v>
      </c>
      <c r="I20" s="138">
        <v>19345.060000000001</v>
      </c>
      <c r="J20" s="138">
        <v>17906.490000000002</v>
      </c>
      <c r="K20" s="138">
        <v>13671.56</v>
      </c>
      <c r="L20" s="138">
        <v>17610.41</v>
      </c>
      <c r="M20" s="151">
        <v>20050.87</v>
      </c>
      <c r="N20" s="141">
        <f t="shared" si="1"/>
        <v>195152.69999999998</v>
      </c>
      <c r="P20" s="40"/>
      <c r="Q20" s="40"/>
    </row>
    <row r="21" spans="1:18" ht="11.1" customHeight="1">
      <c r="A21" s="28" t="s">
        <v>112</v>
      </c>
      <c r="B21" s="187">
        <v>0</v>
      </c>
      <c r="C21" s="187">
        <v>710</v>
      </c>
      <c r="D21" s="187">
        <v>0</v>
      </c>
      <c r="E21" s="187">
        <v>0</v>
      </c>
      <c r="F21" s="138">
        <v>0</v>
      </c>
      <c r="G21" s="138">
        <v>2025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51">
        <v>0</v>
      </c>
      <c r="N21" s="141">
        <f t="shared" si="1"/>
        <v>2735</v>
      </c>
    </row>
    <row r="22" spans="1:18" ht="11.1" customHeight="1">
      <c r="A22" s="28" t="s">
        <v>111</v>
      </c>
      <c r="B22" s="187">
        <v>0</v>
      </c>
      <c r="C22" s="187">
        <v>0</v>
      </c>
      <c r="D22" s="201">
        <v>0</v>
      </c>
      <c r="E22" s="201">
        <v>0</v>
      </c>
      <c r="F22" s="138">
        <v>0</v>
      </c>
      <c r="G22" s="138">
        <v>6362.5</v>
      </c>
      <c r="H22" s="152">
        <v>7022.82</v>
      </c>
      <c r="I22" s="138">
        <v>7022.82</v>
      </c>
      <c r="J22" s="138">
        <v>7481.15</v>
      </c>
      <c r="K22" s="138">
        <v>0</v>
      </c>
      <c r="L22" s="138">
        <v>0</v>
      </c>
      <c r="M22" s="153">
        <v>0</v>
      </c>
      <c r="N22" s="141">
        <f t="shared" si="1"/>
        <v>27889.29</v>
      </c>
    </row>
    <row r="23" spans="1:18" ht="11.1" customHeight="1">
      <c r="A23" s="28" t="s">
        <v>60</v>
      </c>
      <c r="B23" s="187">
        <v>0</v>
      </c>
      <c r="C23" s="198">
        <v>0</v>
      </c>
      <c r="D23" s="198">
        <v>0</v>
      </c>
      <c r="E23" s="187">
        <v>0</v>
      </c>
      <c r="F23" s="139">
        <v>0</v>
      </c>
      <c r="G23" s="139">
        <v>0</v>
      </c>
      <c r="H23" s="138">
        <v>0</v>
      </c>
      <c r="I23" s="139">
        <v>0</v>
      </c>
      <c r="J23" s="139">
        <v>0</v>
      </c>
      <c r="K23" s="138">
        <v>0</v>
      </c>
      <c r="L23" s="139">
        <v>0</v>
      </c>
      <c r="M23" s="140">
        <v>0</v>
      </c>
      <c r="N23" s="141">
        <f t="shared" si="1"/>
        <v>0</v>
      </c>
    </row>
    <row r="24" spans="1:18" ht="11.1" customHeight="1">
      <c r="A24" s="28" t="s">
        <v>74</v>
      </c>
      <c r="B24" s="187">
        <v>0</v>
      </c>
      <c r="C24" s="198">
        <v>0</v>
      </c>
      <c r="D24" s="198">
        <v>0</v>
      </c>
      <c r="E24" s="187">
        <v>0</v>
      </c>
      <c r="F24" s="139">
        <v>152.88999999999999</v>
      </c>
      <c r="G24" s="139">
        <v>35.43</v>
      </c>
      <c r="H24" s="138">
        <v>0</v>
      </c>
      <c r="I24" s="139">
        <v>0</v>
      </c>
      <c r="J24" s="139">
        <v>0</v>
      </c>
      <c r="K24" s="138">
        <v>0</v>
      </c>
      <c r="L24" s="139">
        <v>0</v>
      </c>
      <c r="M24" s="140">
        <v>0</v>
      </c>
      <c r="N24" s="141">
        <f t="shared" si="1"/>
        <v>188.32</v>
      </c>
    </row>
    <row r="25" spans="1:18" ht="11.1" customHeight="1">
      <c r="A25" s="28" t="s">
        <v>97</v>
      </c>
      <c r="B25" s="187">
        <v>43798.1</v>
      </c>
      <c r="C25" s="198">
        <v>67385.279999999999</v>
      </c>
      <c r="D25" s="198">
        <v>31942.39</v>
      </c>
      <c r="E25" s="187">
        <v>60396.66</v>
      </c>
      <c r="F25" s="139">
        <v>51099.83</v>
      </c>
      <c r="G25" s="139">
        <v>41245.17</v>
      </c>
      <c r="H25" s="138">
        <v>28026.53</v>
      </c>
      <c r="I25" s="139">
        <v>35458.44</v>
      </c>
      <c r="J25" s="139">
        <v>58045.07</v>
      </c>
      <c r="K25" s="138">
        <v>68990.31</v>
      </c>
      <c r="L25" s="139">
        <v>40947.25</v>
      </c>
      <c r="M25" s="140">
        <v>44624.66</v>
      </c>
      <c r="N25" s="141">
        <f t="shared" si="1"/>
        <v>571959.69000000006</v>
      </c>
    </row>
    <row r="26" spans="1:18" ht="11.1" customHeight="1">
      <c r="A26" s="28" t="s">
        <v>124</v>
      </c>
      <c r="B26" s="187">
        <v>3364</v>
      </c>
      <c r="C26" s="198">
        <v>160</v>
      </c>
      <c r="D26" s="198">
        <v>0</v>
      </c>
      <c r="E26" s="187">
        <v>820</v>
      </c>
      <c r="F26" s="139">
        <v>3436.99</v>
      </c>
      <c r="G26" s="139">
        <v>7390.41</v>
      </c>
      <c r="H26" s="138">
        <v>0</v>
      </c>
      <c r="I26" s="139">
        <v>0</v>
      </c>
      <c r="J26" s="139">
        <v>0</v>
      </c>
      <c r="K26" s="138">
        <v>0</v>
      </c>
      <c r="L26" s="139">
        <v>0</v>
      </c>
      <c r="M26" s="140">
        <v>0</v>
      </c>
      <c r="N26" s="141">
        <f t="shared" si="1"/>
        <v>15171.4</v>
      </c>
    </row>
    <row r="27" spans="1:18" ht="11.1" customHeight="1">
      <c r="A27" s="28" t="s">
        <v>117</v>
      </c>
      <c r="B27" s="187">
        <v>2665</v>
      </c>
      <c r="C27" s="198">
        <v>3262</v>
      </c>
      <c r="D27" s="198">
        <v>3180</v>
      </c>
      <c r="E27" s="187">
        <v>3960</v>
      </c>
      <c r="F27" s="139">
        <v>0</v>
      </c>
      <c r="G27" s="139">
        <v>2186</v>
      </c>
      <c r="H27" s="138">
        <v>5166</v>
      </c>
      <c r="I27" s="139">
        <v>0</v>
      </c>
      <c r="J27" s="139">
        <v>0</v>
      </c>
      <c r="K27" s="138">
        <v>1207</v>
      </c>
      <c r="L27" s="139">
        <v>1580</v>
      </c>
      <c r="M27" s="140">
        <v>250</v>
      </c>
      <c r="N27" s="141">
        <f t="shared" si="1"/>
        <v>23456</v>
      </c>
    </row>
    <row r="28" spans="1:18" ht="11.1" customHeight="1">
      <c r="A28" s="28" t="s">
        <v>125</v>
      </c>
      <c r="B28" s="187">
        <v>0</v>
      </c>
      <c r="C28" s="198">
        <v>1250</v>
      </c>
      <c r="D28" s="198">
        <v>0</v>
      </c>
      <c r="E28" s="187">
        <v>4900</v>
      </c>
      <c r="F28" s="139">
        <v>900</v>
      </c>
      <c r="G28" s="139">
        <v>0</v>
      </c>
      <c r="H28" s="138">
        <v>0</v>
      </c>
      <c r="I28" s="139">
        <v>0</v>
      </c>
      <c r="J28" s="139">
        <v>0</v>
      </c>
      <c r="K28" s="138">
        <v>100</v>
      </c>
      <c r="L28" s="139">
        <v>670</v>
      </c>
      <c r="M28" s="140">
        <v>0</v>
      </c>
      <c r="N28" s="141">
        <f t="shared" si="1"/>
        <v>7820</v>
      </c>
    </row>
    <row r="29" spans="1:18" ht="11.1" customHeight="1" thickBot="1">
      <c r="A29" s="46" t="s">
        <v>118</v>
      </c>
      <c r="B29" s="191">
        <v>196.3</v>
      </c>
      <c r="C29" s="200">
        <v>0</v>
      </c>
      <c r="D29" s="200">
        <v>0</v>
      </c>
      <c r="E29" s="191">
        <v>0</v>
      </c>
      <c r="F29" s="155">
        <v>0</v>
      </c>
      <c r="G29" s="155">
        <v>0</v>
      </c>
      <c r="H29" s="154">
        <v>0</v>
      </c>
      <c r="I29" s="155">
        <v>0</v>
      </c>
      <c r="J29" s="155">
        <v>16.2</v>
      </c>
      <c r="K29" s="154">
        <v>56</v>
      </c>
      <c r="L29" s="155">
        <v>0</v>
      </c>
      <c r="M29" s="156">
        <v>3304.5</v>
      </c>
      <c r="N29" s="141">
        <f t="shared" si="1"/>
        <v>3573</v>
      </c>
    </row>
    <row r="30" spans="1:18" ht="11.1" customHeight="1" thickBot="1">
      <c r="A30" s="43" t="s">
        <v>78</v>
      </c>
      <c r="B30" s="192">
        <f t="shared" ref="B30:M30" si="3">SUM(B13:B29)</f>
        <v>179807.18999999997</v>
      </c>
      <c r="C30" s="192">
        <f t="shared" si="3"/>
        <v>187297.55</v>
      </c>
      <c r="D30" s="192">
        <f t="shared" si="3"/>
        <v>146600.58000000002</v>
      </c>
      <c r="E30" s="192">
        <f t="shared" si="3"/>
        <v>228403.8</v>
      </c>
      <c r="F30" s="157">
        <f t="shared" si="3"/>
        <v>200245.70999999996</v>
      </c>
      <c r="G30" s="157">
        <f t="shared" si="3"/>
        <v>203543.61000000002</v>
      </c>
      <c r="H30" s="157">
        <f t="shared" si="3"/>
        <v>176730.57</v>
      </c>
      <c r="I30" s="157">
        <f t="shared" si="3"/>
        <v>155917.82999999999</v>
      </c>
      <c r="J30" s="157">
        <f t="shared" si="3"/>
        <v>240555.96</v>
      </c>
      <c r="K30" s="157">
        <f t="shared" si="3"/>
        <v>196533.09</v>
      </c>
      <c r="L30" s="157">
        <f t="shared" si="3"/>
        <v>153229.70000000001</v>
      </c>
      <c r="M30" s="158">
        <f t="shared" si="3"/>
        <v>180578.52</v>
      </c>
      <c r="N30" s="159">
        <f>SUM(N14:N26)</f>
        <v>2201418.11</v>
      </c>
    </row>
    <row r="31" spans="1:18" ht="12.75" customHeight="1" thickBot="1">
      <c r="A31" s="114" t="s">
        <v>113</v>
      </c>
      <c r="B31" s="193">
        <f t="shared" ref="B31:M31" si="4">SUM(B12+B30)</f>
        <v>249377.25999999995</v>
      </c>
      <c r="C31" s="193">
        <f t="shared" si="4"/>
        <v>294955.98</v>
      </c>
      <c r="D31" s="193">
        <f t="shared" si="4"/>
        <v>217919.5</v>
      </c>
      <c r="E31" s="193">
        <f t="shared" si="4"/>
        <v>302406.59999999998</v>
      </c>
      <c r="F31" s="160">
        <f t="shared" si="4"/>
        <v>266086.15999999997</v>
      </c>
      <c r="G31" s="160">
        <f t="shared" si="4"/>
        <v>268520.23</v>
      </c>
      <c r="H31" s="160">
        <f t="shared" si="4"/>
        <v>240296.95</v>
      </c>
      <c r="I31" s="160">
        <f t="shared" si="4"/>
        <v>219895.37</v>
      </c>
      <c r="J31" s="160">
        <f t="shared" si="4"/>
        <v>306424.51</v>
      </c>
      <c r="K31" s="160">
        <f t="shared" si="4"/>
        <v>261389.6</v>
      </c>
      <c r="L31" s="160">
        <f t="shared" si="4"/>
        <v>313037.53000000003</v>
      </c>
      <c r="M31" s="161">
        <f t="shared" si="4"/>
        <v>251678.99</v>
      </c>
      <c r="N31" s="162">
        <f t="shared" si="1"/>
        <v>3191988.6799999997</v>
      </c>
      <c r="O31" s="125"/>
    </row>
    <row r="32" spans="1:18" ht="12.75" customHeight="1">
      <c r="A32" s="96" t="s">
        <v>114</v>
      </c>
      <c r="B32" s="194">
        <f>B33</f>
        <v>0</v>
      </c>
      <c r="C32" s="194">
        <f t="shared" ref="C32:L32" si="5">C33</f>
        <v>0</v>
      </c>
      <c r="D32" s="194">
        <f t="shared" si="5"/>
        <v>0</v>
      </c>
      <c r="E32" s="194">
        <f t="shared" si="5"/>
        <v>0</v>
      </c>
      <c r="F32" s="163">
        <f t="shared" si="5"/>
        <v>0</v>
      </c>
      <c r="G32" s="163">
        <f t="shared" si="5"/>
        <v>1252950.8700000001</v>
      </c>
      <c r="H32" s="163">
        <f t="shared" si="5"/>
        <v>0</v>
      </c>
      <c r="I32" s="163">
        <f t="shared" si="5"/>
        <v>0</v>
      </c>
      <c r="J32" s="163">
        <f t="shared" si="5"/>
        <v>0</v>
      </c>
      <c r="K32" s="163">
        <f t="shared" si="5"/>
        <v>0</v>
      </c>
      <c r="L32" s="163">
        <f t="shared" si="5"/>
        <v>0</v>
      </c>
      <c r="M32" s="163">
        <f>M33</f>
        <v>0</v>
      </c>
      <c r="N32" s="163">
        <f t="shared" ref="N32" si="6">N33</f>
        <v>1252950.8700000001</v>
      </c>
    </row>
    <row r="33" spans="1:17" ht="12.75" customHeight="1" thickBot="1">
      <c r="A33" s="123" t="s">
        <v>115</v>
      </c>
      <c r="B33" s="195">
        <v>0</v>
      </c>
      <c r="C33" s="195">
        <v>0</v>
      </c>
      <c r="D33" s="195">
        <v>0</v>
      </c>
      <c r="E33" s="195">
        <v>0</v>
      </c>
      <c r="F33" s="164">
        <v>0</v>
      </c>
      <c r="G33" s="165">
        <v>1252950.8700000001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6">
        <v>0</v>
      </c>
      <c r="N33" s="145">
        <f t="shared" si="1"/>
        <v>1252950.8700000001</v>
      </c>
    </row>
    <row r="34" spans="1:17" ht="11.1" customHeight="1" thickBot="1">
      <c r="A34" s="124" t="s">
        <v>116</v>
      </c>
      <c r="B34" s="196">
        <f>B31+B32</f>
        <v>249377.25999999995</v>
      </c>
      <c r="C34" s="196">
        <f t="shared" ref="C34:N34" si="7">C31+C32</f>
        <v>294955.98</v>
      </c>
      <c r="D34" s="196">
        <f t="shared" si="7"/>
        <v>217919.5</v>
      </c>
      <c r="E34" s="196">
        <f t="shared" si="7"/>
        <v>302406.59999999998</v>
      </c>
      <c r="F34" s="167">
        <f t="shared" si="7"/>
        <v>266086.15999999997</v>
      </c>
      <c r="G34" s="167">
        <f t="shared" si="7"/>
        <v>1521471.1</v>
      </c>
      <c r="H34" s="167">
        <f t="shared" si="7"/>
        <v>240296.95</v>
      </c>
      <c r="I34" s="167">
        <f t="shared" si="7"/>
        <v>219895.37</v>
      </c>
      <c r="J34" s="167">
        <f t="shared" si="7"/>
        <v>306424.51</v>
      </c>
      <c r="K34" s="167">
        <f t="shared" si="7"/>
        <v>261389.6</v>
      </c>
      <c r="L34" s="167">
        <f t="shared" si="7"/>
        <v>313037.53000000003</v>
      </c>
      <c r="M34" s="167">
        <f t="shared" si="7"/>
        <v>251678.99</v>
      </c>
      <c r="N34" s="168">
        <f t="shared" si="7"/>
        <v>4444939.55</v>
      </c>
      <c r="O34" s="126"/>
    </row>
    <row r="35" spans="1:17" ht="11.1" customHeight="1" thickBot="1">
      <c r="A35" s="249" t="s">
        <v>104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1"/>
      <c r="P35" s="18"/>
    </row>
    <row r="36" spans="1:17" ht="11.1" customHeight="1" thickBot="1">
      <c r="A36" s="94" t="s">
        <v>61</v>
      </c>
      <c r="B36" s="223" t="s">
        <v>38</v>
      </c>
      <c r="C36" s="227" t="s">
        <v>39</v>
      </c>
      <c r="D36" s="227" t="s">
        <v>40</v>
      </c>
      <c r="E36" s="223" t="s">
        <v>41</v>
      </c>
      <c r="F36" s="95" t="s">
        <v>42</v>
      </c>
      <c r="G36" s="95" t="s">
        <v>43</v>
      </c>
      <c r="H36" s="130" t="s">
        <v>44</v>
      </c>
      <c r="I36" s="95" t="s">
        <v>45</v>
      </c>
      <c r="J36" s="95" t="s">
        <v>46</v>
      </c>
      <c r="K36" s="130" t="s">
        <v>47</v>
      </c>
      <c r="L36" s="95" t="s">
        <v>48</v>
      </c>
      <c r="M36" s="95" t="s">
        <v>49</v>
      </c>
      <c r="N36" s="72" t="s">
        <v>82</v>
      </c>
    </row>
    <row r="37" spans="1:17" ht="11.1" customHeight="1">
      <c r="A37" s="96" t="s">
        <v>101</v>
      </c>
      <c r="B37" s="224">
        <f t="shared" ref="B37:L37" si="8">B38+B52</f>
        <v>95905.37</v>
      </c>
      <c r="C37" s="224">
        <f t="shared" si="8"/>
        <v>92762.390000000014</v>
      </c>
      <c r="D37" s="224">
        <f t="shared" si="8"/>
        <v>110523.36000000002</v>
      </c>
      <c r="E37" s="224">
        <f t="shared" si="8"/>
        <v>91871.93</v>
      </c>
      <c r="F37" s="169">
        <f t="shared" si="8"/>
        <v>96094.250000000015</v>
      </c>
      <c r="G37" s="169">
        <f t="shared" si="8"/>
        <v>79294.58</v>
      </c>
      <c r="H37" s="169">
        <f t="shared" si="8"/>
        <v>89215.12</v>
      </c>
      <c r="I37" s="169">
        <f t="shared" si="8"/>
        <v>86658.87</v>
      </c>
      <c r="J37" s="169">
        <f t="shared" si="8"/>
        <v>106584.68</v>
      </c>
      <c r="K37" s="169">
        <f t="shared" si="8"/>
        <v>107214.74000000002</v>
      </c>
      <c r="L37" s="169">
        <f t="shared" si="8"/>
        <v>107217.61000000002</v>
      </c>
      <c r="M37" s="115">
        <f>M38+M53+M64</f>
        <v>167584.59999999998</v>
      </c>
      <c r="N37" s="120">
        <f t="shared" ref="N37:N67" si="9">SUM(B37:M37)</f>
        <v>1230927.5</v>
      </c>
      <c r="P37" s="88"/>
    </row>
    <row r="38" spans="1:17" ht="11.1" customHeight="1">
      <c r="A38" s="26" t="s">
        <v>102</v>
      </c>
      <c r="B38" s="225">
        <f>SUM(B39:B44)</f>
        <v>82796.61</v>
      </c>
      <c r="C38" s="225">
        <f>SUM(C39:C44)</f>
        <v>81298.12000000001</v>
      </c>
      <c r="D38" s="225">
        <f>SUM(D39:D44)</f>
        <v>90104.260000000024</v>
      </c>
      <c r="E38" s="225">
        <f>SUM(E39:E44)</f>
        <v>78329.279999999999</v>
      </c>
      <c r="F38" s="170">
        <f>SUM(F39:F44)</f>
        <v>85874.970000000016</v>
      </c>
      <c r="G38" s="170">
        <f>SUM(G39:G44)</f>
        <v>68886.17</v>
      </c>
      <c r="H38" s="170">
        <f>SUM(H39:H44)</f>
        <v>74712.679999999993</v>
      </c>
      <c r="I38" s="170">
        <f>SUM(I39:I44)</f>
        <v>72517.539999999994</v>
      </c>
      <c r="J38" s="170">
        <f>SUM(J39:J44)</f>
        <v>91510.73</v>
      </c>
      <c r="K38" s="170">
        <f>SUM(K39:K44)</f>
        <v>96795.010000000024</v>
      </c>
      <c r="L38" s="170">
        <f>SUM(L39:L44)</f>
        <v>81730.900000000009</v>
      </c>
      <c r="M38" s="116">
        <f>SUM(M39:M44)</f>
        <v>120189.99999999999</v>
      </c>
      <c r="N38" s="121">
        <f t="shared" si="9"/>
        <v>1024746.2700000001</v>
      </c>
      <c r="P38" s="90"/>
    </row>
    <row r="39" spans="1:17" ht="11.1" customHeight="1">
      <c r="A39" s="28" t="s">
        <v>63</v>
      </c>
      <c r="B39" s="202">
        <f>59511.19+8069.17+19697.34+3537.57-7300.44-16771.2</f>
        <v>66743.63</v>
      </c>
      <c r="C39" s="202">
        <f>53133.17+17143.69+15286.16+2633.32-6410.98-17847.35</f>
        <v>63938.010000000017</v>
      </c>
      <c r="D39" s="202">
        <f>53759.04+10123.12+32869.94-6544-23399.22</f>
        <v>66808.88</v>
      </c>
      <c r="E39" s="202">
        <f>59479.22+11981.97+26569.99-7193.11-32985.54</f>
        <v>57852.530000000006</v>
      </c>
      <c r="F39" s="22">
        <f>56917.12+12635.43+19738.93-5975.87-15524.31</f>
        <v>67791.300000000017</v>
      </c>
      <c r="G39" s="22">
        <f>53819.78+7452.07+14107.35-6822.2-15144.47</f>
        <v>53412.53</v>
      </c>
      <c r="H39" s="22">
        <f>41518.71+11667.98+22328.31-3740.73-13691.41</f>
        <v>58082.86</v>
      </c>
      <c r="I39" s="22">
        <f>53880.48+13325.66+16786.59-9926.89-15447.03</f>
        <v>58618.81</v>
      </c>
      <c r="J39" s="22">
        <f>49005.86+10686.73+34870.46-9662.3-13358</f>
        <v>71542.749999999985</v>
      </c>
      <c r="K39" s="22">
        <f>46060.27+16120.44+35457.89-5743.93-14921.21</f>
        <v>76973.460000000021</v>
      </c>
      <c r="L39" s="22">
        <f>58330.08+11031.24+18685.2-7307.7-19295.38</f>
        <v>61443.44</v>
      </c>
      <c r="M39" s="117">
        <f>101306.73+10312.55+19476-14026.84-29422.49</f>
        <v>87645.95</v>
      </c>
      <c r="N39" s="122">
        <f t="shared" si="9"/>
        <v>790854.14999999991</v>
      </c>
      <c r="P39" s="91"/>
    </row>
    <row r="40" spans="1:17" ht="11.1" customHeight="1">
      <c r="A40" s="28" t="s">
        <v>64</v>
      </c>
      <c r="B40" s="202">
        <f>4224.22-498.23</f>
        <v>3725.9900000000002</v>
      </c>
      <c r="C40" s="214">
        <f>6053.07-767.74</f>
        <v>5285.33</v>
      </c>
      <c r="D40" s="203">
        <f>4273.83-481.03</f>
        <v>3792.8</v>
      </c>
      <c r="E40" s="202">
        <f>4147.35-512.16</f>
        <v>3635.1900000000005</v>
      </c>
      <c r="F40" s="23">
        <f>3615.18-451.52</f>
        <v>3163.66</v>
      </c>
      <c r="G40" s="171">
        <f>3456.19-485.21</f>
        <v>2970.98</v>
      </c>
      <c r="H40" s="22">
        <f>3301.71-273.21</f>
        <v>3028.5</v>
      </c>
      <c r="I40" s="23">
        <f>3486.89-547.36</f>
        <v>2939.5299999999997</v>
      </c>
      <c r="J40" s="171">
        <f>3650.77-568.78</f>
        <v>3081.99</v>
      </c>
      <c r="K40" s="22">
        <f>3511.77-485.25</f>
        <v>3026.52</v>
      </c>
      <c r="L40" s="23">
        <f>4444.48-533.15</f>
        <v>3911.3299999999995</v>
      </c>
      <c r="M40" s="118">
        <f>6557.52-738.12</f>
        <v>5819.4000000000005</v>
      </c>
      <c r="N40" s="122">
        <f t="shared" si="9"/>
        <v>44381.219999999994</v>
      </c>
      <c r="P40" s="16"/>
    </row>
    <row r="41" spans="1:17" ht="11.1" customHeight="1">
      <c r="A41" s="33" t="s">
        <v>65</v>
      </c>
      <c r="B41" s="202">
        <f>13464.2-1588.16</f>
        <v>11876.04</v>
      </c>
      <c r="C41" s="214">
        <f>13253.93-1634.8</f>
        <v>11619.130000000001</v>
      </c>
      <c r="D41" s="203">
        <f>13660.6+6172.09-1533.32</f>
        <v>18299.370000000003</v>
      </c>
      <c r="E41" s="202">
        <f>12869.5+5150.19-1632.53</f>
        <v>16387.16</v>
      </c>
      <c r="F41" s="23">
        <f>11674.28+4259.97-1439.27</f>
        <v>14494.98</v>
      </c>
      <c r="G41" s="171">
        <f>11118.73+2544.37-1546.66</f>
        <v>12116.439999999999</v>
      </c>
      <c r="H41" s="22">
        <f>10320.94+3750.48-870.91</f>
        <v>13200.51</v>
      </c>
      <c r="I41" s="23">
        <f>9241.56+3080.22-1744.77</f>
        <v>10577.009999999998</v>
      </c>
      <c r="J41" s="171">
        <f>11637.59+6696.99-1813.05</f>
        <v>16521.530000000002</v>
      </c>
      <c r="K41" s="22">
        <f>11193.18+6776.38-1546.82</f>
        <v>16422.740000000002</v>
      </c>
      <c r="L41" s="23">
        <f>14166.82+3419.85-1699.45</f>
        <v>15887.219999999998</v>
      </c>
      <c r="M41" s="118">
        <f>25299.2+3656.22-3086.13</f>
        <v>25869.29</v>
      </c>
      <c r="N41" s="122">
        <f t="shared" si="9"/>
        <v>183271.42</v>
      </c>
      <c r="O41" s="76"/>
      <c r="P41" s="88"/>
      <c r="Q41" s="16"/>
    </row>
    <row r="42" spans="1:17" ht="11.1" customHeight="1">
      <c r="A42" s="33" t="s">
        <v>66</v>
      </c>
      <c r="B42" s="202">
        <f>513.23-62.28</f>
        <v>450.95000000000005</v>
      </c>
      <c r="C42" s="214">
        <f>519.76-64.11</f>
        <v>455.65</v>
      </c>
      <c r="D42" s="203">
        <f>542.69-60.13</f>
        <v>482.56000000000006</v>
      </c>
      <c r="E42" s="202">
        <f>518.42-64.02</f>
        <v>454.4</v>
      </c>
      <c r="F42" s="23">
        <f>481.47-56.44</f>
        <v>425.03000000000003</v>
      </c>
      <c r="G42" s="171">
        <f>446.87-60.65</f>
        <v>386.22</v>
      </c>
      <c r="H42" s="22">
        <f>404.75+56.37-60.31</f>
        <v>400.81</v>
      </c>
      <c r="I42" s="23">
        <f>450.61-68.42</f>
        <v>382.19</v>
      </c>
      <c r="J42" s="171">
        <f>435.56-71.1</f>
        <v>364.46000000000004</v>
      </c>
      <c r="K42" s="22">
        <f>432.95-60.66</f>
        <v>372.28999999999996</v>
      </c>
      <c r="L42" s="23">
        <f>555.56-66.65</f>
        <v>488.90999999999997</v>
      </c>
      <c r="M42" s="118">
        <f>976.38-121.02</f>
        <v>855.36</v>
      </c>
      <c r="N42" s="122">
        <f t="shared" si="9"/>
        <v>5518.83</v>
      </c>
      <c r="O42" s="127"/>
    </row>
    <row r="43" spans="1:17" ht="11.1" customHeight="1">
      <c r="A43" s="33" t="s">
        <v>128</v>
      </c>
      <c r="B43" s="202">
        <v>0</v>
      </c>
      <c r="C43" s="214">
        <v>0</v>
      </c>
      <c r="D43" s="203">
        <v>8.8000000000000007</v>
      </c>
      <c r="E43" s="202">
        <v>0</v>
      </c>
      <c r="F43" s="23"/>
      <c r="G43" s="171"/>
      <c r="H43" s="22"/>
      <c r="I43" s="23"/>
      <c r="J43" s="171"/>
      <c r="K43" s="22"/>
      <c r="L43" s="23"/>
      <c r="M43" s="118"/>
      <c r="N43" s="122"/>
      <c r="O43" s="127"/>
    </row>
    <row r="44" spans="1:17" ht="11.1" customHeight="1">
      <c r="A44" s="33" t="s">
        <v>129</v>
      </c>
      <c r="B44" s="202">
        <v>0</v>
      </c>
      <c r="C44" s="214">
        <v>0</v>
      </c>
      <c r="D44" s="203">
        <v>711.85</v>
      </c>
      <c r="E44" s="202">
        <v>0</v>
      </c>
      <c r="F44" s="23"/>
      <c r="G44" s="171"/>
      <c r="H44" s="22"/>
      <c r="I44" s="23"/>
      <c r="J44" s="171"/>
      <c r="K44" s="22"/>
      <c r="L44" s="23"/>
      <c r="M44" s="118"/>
      <c r="N44" s="122"/>
      <c r="O44" s="127"/>
    </row>
    <row r="45" spans="1:17" ht="11.1" customHeight="1">
      <c r="A45" s="97" t="s">
        <v>72</v>
      </c>
      <c r="B45" s="204">
        <f t="shared" ref="B45:M45" si="10">SUM(B46:B51)</f>
        <v>84784.549999999988</v>
      </c>
      <c r="C45" s="204">
        <f t="shared" si="10"/>
        <v>87415.31</v>
      </c>
      <c r="D45" s="204">
        <f t="shared" si="10"/>
        <v>92724.49</v>
      </c>
      <c r="E45" s="204">
        <f t="shared" si="10"/>
        <v>110018.67</v>
      </c>
      <c r="F45" s="21">
        <f t="shared" si="10"/>
        <v>90916.209999999992</v>
      </c>
      <c r="G45" s="21">
        <f t="shared" si="10"/>
        <v>86911.52</v>
      </c>
      <c r="H45" s="21">
        <f t="shared" si="10"/>
        <v>99755.88</v>
      </c>
      <c r="I45" s="21">
        <f t="shared" si="10"/>
        <v>87287.03</v>
      </c>
      <c r="J45" s="21">
        <f t="shared" si="10"/>
        <v>112881.26</v>
      </c>
      <c r="K45" s="21">
        <f t="shared" si="10"/>
        <v>99388.51</v>
      </c>
      <c r="L45" s="21">
        <f t="shared" si="10"/>
        <v>76276.069999999992</v>
      </c>
      <c r="M45" s="119">
        <f t="shared" si="10"/>
        <v>104046.36999999998</v>
      </c>
      <c r="N45" s="121">
        <f t="shared" si="9"/>
        <v>1132405.8699999999</v>
      </c>
      <c r="O45" s="127"/>
    </row>
    <row r="46" spans="1:17" ht="12" customHeight="1">
      <c r="A46" s="28" t="s">
        <v>67</v>
      </c>
      <c r="B46" s="202">
        <f>85632.9-3112.28-3680</f>
        <v>78840.62</v>
      </c>
      <c r="C46" s="214">
        <f>89209.82-2124.82-4300.5</f>
        <v>82784.5</v>
      </c>
      <c r="D46" s="258">
        <f>100956-11341.33-4558.85</f>
        <v>85055.819999999992</v>
      </c>
      <c r="E46" s="202">
        <f>116740.86-3664.73-8462.81</f>
        <v>104613.32</v>
      </c>
      <c r="F46" s="23">
        <f>78547.73-1735.6-5343.34</f>
        <v>71468.789999999994</v>
      </c>
      <c r="G46" s="171">
        <f>75766.28-971.84-3151.25</f>
        <v>71643.19</v>
      </c>
      <c r="H46" s="22">
        <f>99153.72-9110.7-1402.53</f>
        <v>88640.49</v>
      </c>
      <c r="I46" s="23">
        <f>87541.67-1355.55-4142.56</f>
        <v>82043.56</v>
      </c>
      <c r="J46" s="171">
        <f>114489.94-2479.83-9659.93</f>
        <v>102350.18</v>
      </c>
      <c r="K46" s="22">
        <f>100512.66-2107.21-6024.17</f>
        <v>92381.28</v>
      </c>
      <c r="L46" s="23">
        <f>79751.42-15313.1-1470.4</f>
        <v>62967.92</v>
      </c>
      <c r="M46" s="118">
        <f>104216.72-1550.96-3861.14</f>
        <v>98804.62</v>
      </c>
      <c r="N46" s="122">
        <f t="shared" si="9"/>
        <v>1021594.29</v>
      </c>
      <c r="O46" s="127"/>
    </row>
    <row r="47" spans="1:17" ht="11.1" customHeight="1">
      <c r="A47" s="28" t="s">
        <v>68</v>
      </c>
      <c r="B47" s="202">
        <v>0</v>
      </c>
      <c r="C47" s="202">
        <v>0</v>
      </c>
      <c r="D47" s="202">
        <v>0</v>
      </c>
      <c r="E47" s="20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117">
        <v>0</v>
      </c>
      <c r="N47" s="122">
        <f t="shared" si="9"/>
        <v>0</v>
      </c>
    </row>
    <row r="48" spans="1:17" ht="11.1" customHeight="1">
      <c r="A48" s="28" t="s">
        <v>81</v>
      </c>
      <c r="B48" s="202">
        <v>5312.7</v>
      </c>
      <c r="C48" s="214">
        <v>2257.4699999999998</v>
      </c>
      <c r="D48" s="203">
        <v>2958.07</v>
      </c>
      <c r="E48" s="202">
        <v>4032.67</v>
      </c>
      <c r="F48" s="23">
        <v>2085.12</v>
      </c>
      <c r="G48" s="10">
        <v>11655.88</v>
      </c>
      <c r="H48" s="22">
        <v>3491</v>
      </c>
      <c r="I48" s="23">
        <v>2984.48</v>
      </c>
      <c r="J48" s="10">
        <v>7524.48</v>
      </c>
      <c r="K48" s="22">
        <v>5282.18</v>
      </c>
      <c r="L48" s="23">
        <v>1948</v>
      </c>
      <c r="M48" s="118">
        <v>3723.18</v>
      </c>
      <c r="N48" s="122">
        <f t="shared" si="9"/>
        <v>53255.229999999996</v>
      </c>
    </row>
    <row r="49" spans="1:17" ht="11.1" customHeight="1">
      <c r="A49" s="28" t="s">
        <v>69</v>
      </c>
      <c r="B49" s="202">
        <f>402.12-102.12</f>
        <v>300</v>
      </c>
      <c r="C49" s="214">
        <f>362.76-61.96</f>
        <v>300.8</v>
      </c>
      <c r="D49" s="258">
        <f>3649.26-39.13</f>
        <v>3610.13</v>
      </c>
      <c r="E49" s="202">
        <f>952.02-108.38</f>
        <v>843.64</v>
      </c>
      <c r="F49" s="23">
        <f>11645.29-88.61</f>
        <v>11556.68</v>
      </c>
      <c r="G49" s="171">
        <f>1729.54-79.15</f>
        <v>1650.3899999999999</v>
      </c>
      <c r="H49" s="22">
        <f>3306.35-42.98</f>
        <v>3263.37</v>
      </c>
      <c r="I49" s="23">
        <f>1008.14-136.26</f>
        <v>871.88</v>
      </c>
      <c r="J49" s="171">
        <f>957.82-85.94</f>
        <v>871.88000000000011</v>
      </c>
      <c r="K49" s="22">
        <f>1366.59</f>
        <v>1366.59</v>
      </c>
      <c r="L49" s="23">
        <f>10473.98-199.87</f>
        <v>10274.109999999999</v>
      </c>
      <c r="M49" s="118">
        <f>1150.5-78.46</f>
        <v>1072.04</v>
      </c>
      <c r="N49" s="122">
        <f t="shared" si="9"/>
        <v>35981.51</v>
      </c>
      <c r="O49" s="128"/>
      <c r="P49" s="40"/>
      <c r="Q49" s="40"/>
    </row>
    <row r="50" spans="1:17" ht="11.1" customHeight="1">
      <c r="A50" s="28" t="s">
        <v>99</v>
      </c>
      <c r="B50" s="202">
        <v>0</v>
      </c>
      <c r="C50" s="214">
        <f>0</f>
        <v>0</v>
      </c>
      <c r="D50" s="258">
        <v>0</v>
      </c>
      <c r="E50" s="202">
        <v>0</v>
      </c>
      <c r="F50" s="23">
        <v>5570.03</v>
      </c>
      <c r="G50" s="171">
        <v>1663.22</v>
      </c>
      <c r="H50" s="22">
        <v>337.5</v>
      </c>
      <c r="I50" s="23">
        <v>911.14</v>
      </c>
      <c r="J50" s="171">
        <v>1505.9</v>
      </c>
      <c r="K50" s="22">
        <v>65</v>
      </c>
      <c r="L50" s="23">
        <v>240.7</v>
      </c>
      <c r="M50" s="118">
        <f>546-500</f>
        <v>46</v>
      </c>
      <c r="N50" s="122">
        <f t="shared" si="9"/>
        <v>10339.49</v>
      </c>
      <c r="O50" s="128"/>
      <c r="P50" s="40"/>
      <c r="Q50" s="40"/>
    </row>
    <row r="51" spans="1:17" ht="11.1" customHeight="1">
      <c r="A51" s="12" t="s">
        <v>70</v>
      </c>
      <c r="B51" s="202">
        <f>1366.99-445.25-590.51</f>
        <v>331.23</v>
      </c>
      <c r="C51" s="214">
        <f>2539.66-399.86-67.26</f>
        <v>2072.5399999999995</v>
      </c>
      <c r="D51" s="258">
        <f>1731.94-420.16-211.31</f>
        <v>1100.47</v>
      </c>
      <c r="E51" s="202">
        <f>1141.24-367.72-244.48</f>
        <v>529.04</v>
      </c>
      <c r="F51" s="23">
        <f>750.36-471.97-42.8</f>
        <v>235.58999999999997</v>
      </c>
      <c r="G51" s="171">
        <f>994.88-442.7-253.34</f>
        <v>298.84000000000003</v>
      </c>
      <c r="H51" s="22">
        <f>4530.93-403.6-103.81</f>
        <v>4023.52</v>
      </c>
      <c r="I51" s="23">
        <f>922.93-362.08-84.88</f>
        <v>475.96999999999991</v>
      </c>
      <c r="J51" s="171">
        <f>1091.3-392.95-69.53</f>
        <v>628.81999999999994</v>
      </c>
      <c r="K51" s="22">
        <f>963.74-475.86-194.42</f>
        <v>293.46000000000004</v>
      </c>
      <c r="L51" s="23">
        <f>1305.65-366.79-93.52</f>
        <v>845.34000000000015</v>
      </c>
      <c r="M51" s="118">
        <f>961.97-483.49-77.95</f>
        <v>400.53000000000003</v>
      </c>
      <c r="N51" s="122">
        <f t="shared" si="9"/>
        <v>11235.35</v>
      </c>
      <c r="O51" s="128"/>
      <c r="P51" s="40"/>
      <c r="Q51" s="40"/>
    </row>
    <row r="52" spans="1:17" ht="11.1" customHeight="1">
      <c r="A52" s="98" t="s">
        <v>71</v>
      </c>
      <c r="B52" s="205">
        <f>B53+B58</f>
        <v>13108.76</v>
      </c>
      <c r="C52" s="205">
        <f>C53+C58</f>
        <v>11464.27</v>
      </c>
      <c r="D52" s="205">
        <f t="shared" ref="D52:K52" si="11">D53+D58</f>
        <v>20419.099999999999</v>
      </c>
      <c r="E52" s="205">
        <f t="shared" si="11"/>
        <v>13542.65</v>
      </c>
      <c r="F52" s="31">
        <f t="shared" si="11"/>
        <v>10219.279999999999</v>
      </c>
      <c r="G52" s="31">
        <f t="shared" si="11"/>
        <v>10408.41</v>
      </c>
      <c r="H52" s="31">
        <f t="shared" si="11"/>
        <v>14502.440000000002</v>
      </c>
      <c r="I52" s="31">
        <f t="shared" si="11"/>
        <v>14141.330000000002</v>
      </c>
      <c r="J52" s="31">
        <f t="shared" si="11"/>
        <v>15073.949999999999</v>
      </c>
      <c r="K52" s="31">
        <f t="shared" si="11"/>
        <v>10419.73</v>
      </c>
      <c r="L52" s="31">
        <f t="shared" ref="L52" si="12">L53+L58</f>
        <v>25486.71</v>
      </c>
      <c r="M52" s="31">
        <f t="shared" ref="M52" si="13">M53+M58</f>
        <v>20585.02</v>
      </c>
      <c r="N52" s="121">
        <f t="shared" si="9"/>
        <v>179371.65</v>
      </c>
      <c r="O52" s="128"/>
      <c r="P52" s="40"/>
      <c r="Q52" s="93"/>
    </row>
    <row r="53" spans="1:17" ht="11.1" customHeight="1">
      <c r="A53" s="26" t="s">
        <v>62</v>
      </c>
      <c r="B53" s="206">
        <f>SUM(B54:B57)</f>
        <v>9449.11</v>
      </c>
      <c r="C53" s="206">
        <f>SUM(C54:C57)</f>
        <v>8877.6299999999992</v>
      </c>
      <c r="D53" s="206">
        <f t="shared" ref="D53:M53" si="14">SUM(D54:D57)</f>
        <v>8618.48</v>
      </c>
      <c r="E53" s="206">
        <f t="shared" si="14"/>
        <v>9401.82</v>
      </c>
      <c r="F53" s="67">
        <f t="shared" si="14"/>
        <v>7923.0999999999995</v>
      </c>
      <c r="G53" s="67">
        <f t="shared" si="14"/>
        <v>8914.7199999999993</v>
      </c>
      <c r="H53" s="67">
        <f t="shared" si="14"/>
        <v>4945.1600000000008</v>
      </c>
      <c r="I53" s="67">
        <f t="shared" si="14"/>
        <v>12287.440000000002</v>
      </c>
      <c r="J53" s="67">
        <f t="shared" si="14"/>
        <v>12115.23</v>
      </c>
      <c r="K53" s="67">
        <f t="shared" si="14"/>
        <v>7836.66</v>
      </c>
      <c r="L53" s="67">
        <f t="shared" si="14"/>
        <v>9606.9499999999989</v>
      </c>
      <c r="M53" s="172">
        <f t="shared" si="14"/>
        <v>17972.11</v>
      </c>
      <c r="N53" s="121">
        <f t="shared" si="9"/>
        <v>117948.40999999999</v>
      </c>
      <c r="O53" s="128"/>
      <c r="P53" s="40"/>
      <c r="Q53" s="40"/>
    </row>
    <row r="54" spans="1:17" ht="11.1" customHeight="1">
      <c r="A54" s="28" t="s">
        <v>63</v>
      </c>
      <c r="B54" s="203">
        <f>6903.99+396.45</f>
        <v>7300.44</v>
      </c>
      <c r="C54" s="203">
        <f>6410.98</f>
        <v>6410.98</v>
      </c>
      <c r="D54" s="203">
        <f>6013+531</f>
        <v>6544</v>
      </c>
      <c r="E54" s="203">
        <f>6662.11+531</f>
        <v>7193.11</v>
      </c>
      <c r="F54" s="10">
        <f>5975.87</f>
        <v>5975.87</v>
      </c>
      <c r="G54" s="10">
        <f>6427.3+394.9</f>
        <v>6822.2</v>
      </c>
      <c r="H54" s="10">
        <f>3515.33+225.4</f>
        <v>3740.73</v>
      </c>
      <c r="I54" s="10">
        <f>9181.69+745.2</f>
        <v>9926.8900000000012</v>
      </c>
      <c r="J54" s="10">
        <f>9590.3+72</f>
        <v>9662.2999999999993</v>
      </c>
      <c r="K54" s="10">
        <f>5311.93+432</f>
        <v>5743.93</v>
      </c>
      <c r="L54" s="10">
        <f>6994.5+313.2</f>
        <v>7307.7</v>
      </c>
      <c r="M54" s="118">
        <f>13205.14+821.7</f>
        <v>14026.84</v>
      </c>
      <c r="N54" s="122">
        <f t="shared" si="9"/>
        <v>90654.99</v>
      </c>
    </row>
    <row r="55" spans="1:17" ht="11.1" customHeight="1">
      <c r="A55" s="28" t="s">
        <v>64</v>
      </c>
      <c r="B55" s="203">
        <v>498.23</v>
      </c>
      <c r="C55" s="217">
        <v>767.74</v>
      </c>
      <c r="D55" s="217">
        <v>481.03</v>
      </c>
      <c r="E55" s="203">
        <v>512.16</v>
      </c>
      <c r="F55" s="30">
        <v>451.52</v>
      </c>
      <c r="G55" s="30">
        <v>485.21</v>
      </c>
      <c r="H55" s="10">
        <v>273.20999999999998</v>
      </c>
      <c r="I55" s="30">
        <v>547.36</v>
      </c>
      <c r="J55" s="30">
        <v>568.78</v>
      </c>
      <c r="K55" s="10">
        <v>485.25</v>
      </c>
      <c r="L55" s="30">
        <v>533.15</v>
      </c>
      <c r="M55" s="173">
        <v>738.12</v>
      </c>
      <c r="N55" s="122">
        <f t="shared" si="9"/>
        <v>6341.7599999999993</v>
      </c>
      <c r="O55" s="127"/>
    </row>
    <row r="56" spans="1:17" ht="11.1" customHeight="1">
      <c r="A56" s="33" t="s">
        <v>65</v>
      </c>
      <c r="B56" s="203">
        <v>1588.16</v>
      </c>
      <c r="C56" s="217">
        <v>1634.8</v>
      </c>
      <c r="D56" s="217">
        <v>1533.32</v>
      </c>
      <c r="E56" s="203">
        <v>1632.53</v>
      </c>
      <c r="F56" s="30">
        <v>1439.27</v>
      </c>
      <c r="G56" s="30">
        <v>1546.66</v>
      </c>
      <c r="H56" s="10">
        <v>870.91</v>
      </c>
      <c r="I56" s="30">
        <v>1744.77</v>
      </c>
      <c r="J56" s="30">
        <v>1813.05</v>
      </c>
      <c r="K56" s="10">
        <v>1546.82</v>
      </c>
      <c r="L56" s="30">
        <v>1699.45</v>
      </c>
      <c r="M56" s="173">
        <v>3086.13</v>
      </c>
      <c r="N56" s="122">
        <f t="shared" si="9"/>
        <v>20135.87</v>
      </c>
      <c r="O56" s="127"/>
    </row>
    <row r="57" spans="1:17" ht="11.1" customHeight="1">
      <c r="A57" s="33" t="s">
        <v>66</v>
      </c>
      <c r="B57" s="203">
        <v>62.28</v>
      </c>
      <c r="C57" s="203">
        <v>64.11</v>
      </c>
      <c r="D57" s="203">
        <v>60.13</v>
      </c>
      <c r="E57" s="203">
        <v>64.02</v>
      </c>
      <c r="F57" s="10">
        <v>56.44</v>
      </c>
      <c r="G57" s="10">
        <v>60.65</v>
      </c>
      <c r="H57" s="10">
        <f>26.16+34.15</f>
        <v>60.31</v>
      </c>
      <c r="I57" s="10">
        <v>68.42</v>
      </c>
      <c r="J57" s="10">
        <v>71.099999999999994</v>
      </c>
      <c r="K57" s="10">
        <v>60.66</v>
      </c>
      <c r="L57" s="10">
        <v>66.650000000000006</v>
      </c>
      <c r="M57" s="118">
        <v>121.02</v>
      </c>
      <c r="N57" s="174">
        <f t="shared" si="9"/>
        <v>815.79</v>
      </c>
      <c r="O57" s="127"/>
      <c r="P57" s="69"/>
      <c r="Q57" s="89"/>
    </row>
    <row r="58" spans="1:17" ht="11.1" customHeight="1">
      <c r="A58" s="97" t="s">
        <v>61</v>
      </c>
      <c r="B58" s="205">
        <f>SUM(B59:B62)</f>
        <v>3659.65</v>
      </c>
      <c r="C58" s="205">
        <f>SUM(C59:C62)</f>
        <v>2586.6400000000003</v>
      </c>
      <c r="D58" s="205">
        <f t="shared" ref="D58:M58" si="15">SUM(D59:D62)</f>
        <v>11800.619999999999</v>
      </c>
      <c r="E58" s="205">
        <f t="shared" si="15"/>
        <v>4140.83</v>
      </c>
      <c r="F58" s="31">
        <f t="shared" si="15"/>
        <v>2296.1799999999998</v>
      </c>
      <c r="G58" s="31">
        <f t="shared" si="15"/>
        <v>1493.69</v>
      </c>
      <c r="H58" s="31">
        <f t="shared" si="15"/>
        <v>9557.2800000000007</v>
      </c>
      <c r="I58" s="31">
        <f t="shared" si="15"/>
        <v>1853.8899999999999</v>
      </c>
      <c r="J58" s="31">
        <f t="shared" si="15"/>
        <v>2958.72</v>
      </c>
      <c r="K58" s="31">
        <f t="shared" si="15"/>
        <v>2583.0700000000002</v>
      </c>
      <c r="L58" s="31">
        <f t="shared" si="15"/>
        <v>15879.760000000002</v>
      </c>
      <c r="M58" s="172">
        <f t="shared" si="15"/>
        <v>2612.91</v>
      </c>
      <c r="N58" s="175">
        <f t="shared" si="9"/>
        <v>61423.240000000005</v>
      </c>
      <c r="P58" s="40"/>
    </row>
    <row r="59" spans="1:17" ht="11.1" customHeight="1">
      <c r="A59" s="28" t="s">
        <v>67</v>
      </c>
      <c r="B59" s="203">
        <v>3112.28</v>
      </c>
      <c r="C59" s="217">
        <v>2124.8200000000002</v>
      </c>
      <c r="D59" s="203">
        <v>11341.33</v>
      </c>
      <c r="E59" s="203">
        <v>3664.73</v>
      </c>
      <c r="F59" s="30">
        <v>1735.6</v>
      </c>
      <c r="G59" s="10">
        <v>971.84</v>
      </c>
      <c r="H59" s="10">
        <v>9110.7000000000007</v>
      </c>
      <c r="I59" s="30">
        <v>1355.55</v>
      </c>
      <c r="J59" s="10">
        <v>2479.83</v>
      </c>
      <c r="K59" s="10">
        <v>2107.21</v>
      </c>
      <c r="L59" s="30">
        <v>15313.1</v>
      </c>
      <c r="M59" s="118">
        <v>1550.96</v>
      </c>
      <c r="N59" s="174">
        <f t="shared" si="9"/>
        <v>54867.95</v>
      </c>
      <c r="P59" s="40"/>
    </row>
    <row r="60" spans="1:17" ht="11.1" customHeight="1">
      <c r="A60" s="28" t="s">
        <v>120</v>
      </c>
      <c r="B60" s="203">
        <v>0</v>
      </c>
      <c r="C60" s="217"/>
      <c r="D60" s="203">
        <v>0</v>
      </c>
      <c r="E60" s="203"/>
      <c r="F60" s="30"/>
      <c r="G60" s="10"/>
      <c r="H60" s="10"/>
      <c r="I60" s="30">
        <v>0</v>
      </c>
      <c r="J60" s="10"/>
      <c r="K60" s="10"/>
      <c r="L60" s="30">
        <v>0</v>
      </c>
      <c r="M60" s="118">
        <v>500</v>
      </c>
      <c r="N60" s="174">
        <f t="shared" si="9"/>
        <v>500</v>
      </c>
      <c r="P60" s="40"/>
    </row>
    <row r="61" spans="1:17" ht="11.1" customHeight="1">
      <c r="A61" s="28" t="s">
        <v>69</v>
      </c>
      <c r="B61" s="203">
        <v>102.12</v>
      </c>
      <c r="C61" s="217">
        <v>61.96</v>
      </c>
      <c r="D61" s="203">
        <v>39.130000000000003</v>
      </c>
      <c r="E61" s="203">
        <v>108.38</v>
      </c>
      <c r="F61" s="30">
        <v>88.61</v>
      </c>
      <c r="G61" s="10">
        <v>79.150000000000006</v>
      </c>
      <c r="H61" s="10">
        <v>42.98</v>
      </c>
      <c r="I61" s="30">
        <v>136.26</v>
      </c>
      <c r="J61" s="10">
        <v>85.94</v>
      </c>
      <c r="K61" s="10"/>
      <c r="L61" s="30">
        <v>199.87</v>
      </c>
      <c r="M61" s="118">
        <v>78.459999999999994</v>
      </c>
      <c r="N61" s="174">
        <f t="shared" si="9"/>
        <v>1022.86</v>
      </c>
      <c r="O61" s="129"/>
      <c r="P61" s="69"/>
    </row>
    <row r="62" spans="1:17" ht="11.1" customHeight="1">
      <c r="A62" s="12" t="s">
        <v>70</v>
      </c>
      <c r="B62" s="203">
        <v>445.25</v>
      </c>
      <c r="C62" s="217">
        <v>399.86</v>
      </c>
      <c r="D62" s="203">
        <v>420.16</v>
      </c>
      <c r="E62" s="203">
        <v>367.72</v>
      </c>
      <c r="F62" s="30">
        <v>471.97</v>
      </c>
      <c r="G62" s="10">
        <v>442.7</v>
      </c>
      <c r="H62" s="10">
        <v>403.6</v>
      </c>
      <c r="I62" s="30">
        <v>362.08</v>
      </c>
      <c r="J62" s="10">
        <v>392.95</v>
      </c>
      <c r="K62" s="10">
        <v>475.86</v>
      </c>
      <c r="L62" s="30">
        <v>366.79</v>
      </c>
      <c r="M62" s="118">
        <v>483.49</v>
      </c>
      <c r="N62" s="174">
        <f t="shared" si="9"/>
        <v>5032.4299999999994</v>
      </c>
      <c r="O62" s="69"/>
      <c r="P62" s="69"/>
    </row>
    <row r="63" spans="1:17" ht="11.1" customHeight="1">
      <c r="A63" s="99" t="s">
        <v>93</v>
      </c>
      <c r="B63" s="205">
        <f>SUM(B64:B67)</f>
        <v>39254.69</v>
      </c>
      <c r="C63" s="205">
        <f t="shared" ref="C63:M63" si="16">SUM(C64:C67)</f>
        <v>22215.109999999997</v>
      </c>
      <c r="D63" s="205">
        <f t="shared" si="16"/>
        <v>28169.38</v>
      </c>
      <c r="E63" s="205">
        <f t="shared" si="16"/>
        <v>41692.83</v>
      </c>
      <c r="F63" s="31">
        <f t="shared" si="16"/>
        <v>54154.570999999996</v>
      </c>
      <c r="G63" s="31">
        <f t="shared" si="16"/>
        <v>51793.180000000008</v>
      </c>
      <c r="H63" s="31">
        <f t="shared" si="16"/>
        <v>48441.87</v>
      </c>
      <c r="I63" s="31">
        <f t="shared" si="16"/>
        <v>52918.590000000004</v>
      </c>
      <c r="J63" s="31">
        <f t="shared" si="16"/>
        <v>56331.58</v>
      </c>
      <c r="K63" s="31">
        <f t="shared" si="16"/>
        <v>62519.21</v>
      </c>
      <c r="L63" s="31">
        <f t="shared" si="16"/>
        <v>54612.97</v>
      </c>
      <c r="M63" s="172">
        <f t="shared" si="16"/>
        <v>67115.28</v>
      </c>
      <c r="N63" s="175">
        <f t="shared" si="9"/>
        <v>579219.26100000006</v>
      </c>
      <c r="P63" s="1"/>
    </row>
    <row r="64" spans="1:17" ht="11.1" customHeight="1">
      <c r="A64" s="12" t="s">
        <v>94</v>
      </c>
      <c r="B64" s="203">
        <v>16771.2</v>
      </c>
      <c r="C64" s="217">
        <v>17847.349999999999</v>
      </c>
      <c r="D64" s="203">
        <v>23399.22</v>
      </c>
      <c r="E64" s="203">
        <v>32985.54</v>
      </c>
      <c r="F64" s="30">
        <v>15524.31</v>
      </c>
      <c r="G64" s="10">
        <v>15144.47</v>
      </c>
      <c r="H64" s="10">
        <v>13691.41</v>
      </c>
      <c r="I64" s="30">
        <v>15447.03</v>
      </c>
      <c r="J64" s="10">
        <v>13358</v>
      </c>
      <c r="K64" s="10">
        <v>14921.21</v>
      </c>
      <c r="L64" s="30">
        <v>19295.38</v>
      </c>
      <c r="M64" s="118">
        <v>29422.49</v>
      </c>
      <c r="N64" s="174">
        <f t="shared" si="9"/>
        <v>227807.61</v>
      </c>
    </row>
    <row r="65" spans="1:14" ht="11.1" customHeight="1">
      <c r="A65" s="12" t="s">
        <v>95</v>
      </c>
      <c r="B65" s="203">
        <v>3680</v>
      </c>
      <c r="C65" s="217">
        <v>4300.5</v>
      </c>
      <c r="D65" s="203">
        <v>4558.8500000000004</v>
      </c>
      <c r="E65" s="203">
        <v>8462.81</v>
      </c>
      <c r="F65" s="30">
        <v>5343.34</v>
      </c>
      <c r="G65" s="10">
        <v>3151.25</v>
      </c>
      <c r="H65" s="10">
        <v>1402.53</v>
      </c>
      <c r="I65" s="30">
        <v>4142.5600000000004</v>
      </c>
      <c r="J65" s="10">
        <v>9659.93</v>
      </c>
      <c r="K65" s="10">
        <v>6024.17</v>
      </c>
      <c r="L65" s="30">
        <v>1470.4</v>
      </c>
      <c r="M65" s="118">
        <v>3861.14</v>
      </c>
      <c r="N65" s="174">
        <f t="shared" si="9"/>
        <v>56057.479999999996</v>
      </c>
    </row>
    <row r="66" spans="1:14" ht="11.1" customHeight="1">
      <c r="A66" s="12" t="s">
        <v>96</v>
      </c>
      <c r="B66" s="203">
        <v>590.51</v>
      </c>
      <c r="C66" s="217">
        <v>67.260000000000005</v>
      </c>
      <c r="D66" s="259">
        <v>211.31</v>
      </c>
      <c r="E66" s="203">
        <v>244.48</v>
      </c>
      <c r="F66" s="30">
        <v>42.8</v>
      </c>
      <c r="G66" s="171">
        <v>253.34</v>
      </c>
      <c r="H66" s="10">
        <v>103.81</v>
      </c>
      <c r="I66" s="30">
        <v>84.88</v>
      </c>
      <c r="J66" s="171">
        <v>69.53</v>
      </c>
      <c r="K66" s="10">
        <v>194.42</v>
      </c>
      <c r="L66" s="30">
        <v>93.52</v>
      </c>
      <c r="M66" s="118">
        <v>77.95</v>
      </c>
      <c r="N66" s="174">
        <f t="shared" si="9"/>
        <v>2033.81</v>
      </c>
    </row>
    <row r="67" spans="1:14" ht="11.1" customHeight="1">
      <c r="A67" s="12" t="s">
        <v>100</v>
      </c>
      <c r="B67" s="203">
        <v>18212.98</v>
      </c>
      <c r="C67" s="217">
        <v>0</v>
      </c>
      <c r="D67" s="217">
        <v>0</v>
      </c>
      <c r="E67" s="217">
        <v>0</v>
      </c>
      <c r="F67" s="30">
        <v>33244.120999999999</v>
      </c>
      <c r="G67" s="30">
        <v>33244.120000000003</v>
      </c>
      <c r="H67" s="30">
        <v>33244.120000000003</v>
      </c>
      <c r="I67" s="30">
        <v>33244.120000000003</v>
      </c>
      <c r="J67" s="30">
        <v>33244.120000000003</v>
      </c>
      <c r="K67" s="30">
        <v>41379.410000000003</v>
      </c>
      <c r="L67" s="30">
        <v>33753.67</v>
      </c>
      <c r="M67" s="173">
        <v>33753.699999999997</v>
      </c>
      <c r="N67" s="174">
        <f t="shared" si="9"/>
        <v>293320.36099999998</v>
      </c>
    </row>
    <row r="68" spans="1:14" ht="11.1" customHeight="1" thickBot="1">
      <c r="A68" s="36"/>
      <c r="B68" s="207"/>
      <c r="C68" s="218"/>
      <c r="D68" s="222"/>
      <c r="E68" s="207"/>
      <c r="F68" s="38"/>
      <c r="G68" s="110"/>
      <c r="H68" s="37"/>
      <c r="I68" s="38"/>
      <c r="J68" s="110"/>
      <c r="K68" s="37"/>
      <c r="L68" s="38"/>
      <c r="M68" s="176"/>
      <c r="N68" s="177"/>
    </row>
    <row r="69" spans="1:14" ht="11.1" customHeight="1" thickBot="1">
      <c r="A69" s="178" t="s">
        <v>77</v>
      </c>
      <c r="B69" s="226">
        <f>B38+B45+B53+B58+B63</f>
        <v>219944.60999999996</v>
      </c>
      <c r="C69" s="226">
        <f t="shared" ref="C69:L69" si="17">C38+C45+C53+C58+C63</f>
        <v>202392.81</v>
      </c>
      <c r="D69" s="226">
        <f t="shared" si="17"/>
        <v>231417.23000000004</v>
      </c>
      <c r="E69" s="226">
        <f t="shared" si="17"/>
        <v>243583.43</v>
      </c>
      <c r="F69" s="179">
        <f t="shared" si="17"/>
        <v>241165.03099999999</v>
      </c>
      <c r="G69" s="179">
        <f t="shared" si="17"/>
        <v>217999.28000000003</v>
      </c>
      <c r="H69" s="179">
        <f t="shared" si="17"/>
        <v>237412.87</v>
      </c>
      <c r="I69" s="179">
        <f t="shared" si="17"/>
        <v>226864.49000000002</v>
      </c>
      <c r="J69" s="179">
        <f t="shared" si="17"/>
        <v>275797.52</v>
      </c>
      <c r="K69" s="179">
        <f t="shared" si="17"/>
        <v>269122.46000000002</v>
      </c>
      <c r="L69" s="179">
        <f t="shared" si="17"/>
        <v>238106.65000000002</v>
      </c>
      <c r="M69" s="180">
        <f>M38+M45+M53+M58+M63</f>
        <v>311936.67</v>
      </c>
      <c r="N69" s="181">
        <f>N38+N45+N53+N58+N63</f>
        <v>2915743.0510000004</v>
      </c>
    </row>
    <row r="70" spans="1:14" ht="11.1" customHeight="1">
      <c r="A70" s="252" t="s">
        <v>121</v>
      </c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4"/>
      <c r="N70" s="182">
        <f>N31-N69</f>
        <v>276245.62899999926</v>
      </c>
    </row>
    <row r="71" spans="1:14" ht="11.1" customHeight="1" thickBot="1">
      <c r="A71" s="255" t="s">
        <v>122</v>
      </c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7"/>
      <c r="N71" s="183">
        <f>N34-N69</f>
        <v>1529196.4989999994</v>
      </c>
    </row>
    <row r="72" spans="1:14" ht="11.1" customHeight="1">
      <c r="C72" s="7"/>
      <c r="D72" s="7"/>
      <c r="E72" s="7"/>
      <c r="F72" s="7"/>
      <c r="G72" s="7"/>
      <c r="H72" s="7"/>
      <c r="I72" s="39"/>
      <c r="J72" s="40"/>
      <c r="M72" s="75"/>
    </row>
    <row r="73" spans="1:14" ht="11.1" customHeight="1">
      <c r="C73" s="7"/>
      <c r="D73" s="40"/>
      <c r="E73" s="7"/>
      <c r="F73" s="7"/>
      <c r="G73" s="7"/>
      <c r="H73" s="7"/>
      <c r="I73" s="39"/>
      <c r="J73" s="40"/>
    </row>
    <row r="74" spans="1:14" ht="11.1" customHeight="1">
      <c r="C74" s="7"/>
      <c r="D74" s="7"/>
      <c r="E74" s="6"/>
      <c r="F74" s="6"/>
      <c r="G74" s="6"/>
      <c r="H74" s="6"/>
      <c r="I74" s="34"/>
      <c r="J74" s="64"/>
      <c r="K74" s="40"/>
    </row>
    <row r="75" spans="1:14" ht="11.1" customHeight="1">
      <c r="B75" s="58"/>
      <c r="C75" s="59"/>
      <c r="D75" s="59"/>
      <c r="E75" s="6"/>
      <c r="F75" s="6"/>
      <c r="G75" s="6"/>
      <c r="H75" s="61"/>
      <c r="I75" s="59"/>
      <c r="J75" s="65"/>
      <c r="K75" s="40"/>
    </row>
    <row r="76" spans="1:14" ht="11.1" customHeight="1">
      <c r="B76" s="236" t="s">
        <v>89</v>
      </c>
      <c r="C76" s="236"/>
      <c r="D76" s="236"/>
      <c r="E76" s="19"/>
      <c r="F76" s="19"/>
      <c r="H76" s="237" t="s">
        <v>105</v>
      </c>
      <c r="I76" s="238"/>
      <c r="J76" s="238"/>
      <c r="K76" s="40"/>
    </row>
    <row r="77" spans="1:14" ht="11.1" customHeight="1">
      <c r="B77" s="235" t="s">
        <v>13</v>
      </c>
      <c r="C77" s="235"/>
      <c r="D77" s="235"/>
      <c r="E77" s="8"/>
      <c r="F77" s="8"/>
      <c r="H77" s="235" t="s">
        <v>21</v>
      </c>
      <c r="I77" s="235"/>
      <c r="J77" s="235"/>
      <c r="K77" s="40"/>
    </row>
    <row r="78" spans="1:14" ht="11.1" customHeight="1">
      <c r="C78" s="8"/>
      <c r="D78" s="8"/>
      <c r="E78" s="8"/>
      <c r="F78" s="8"/>
      <c r="G78" s="8"/>
      <c r="H78" s="11"/>
      <c r="I78" s="11"/>
      <c r="J78" s="2"/>
      <c r="K78" s="40"/>
    </row>
    <row r="79" spans="1:14" ht="11.1" customHeight="1">
      <c r="C79" s="8"/>
      <c r="D79" s="8"/>
      <c r="E79" s="8"/>
      <c r="F79" s="8"/>
      <c r="G79" s="8"/>
      <c r="H79" s="11"/>
      <c r="I79" s="11"/>
      <c r="J79" s="2"/>
      <c r="K79" s="40"/>
    </row>
    <row r="80" spans="1:14" ht="11.1" customHeight="1">
      <c r="C80" s="8"/>
      <c r="D80" s="8"/>
      <c r="E80" s="8"/>
      <c r="F80" s="8"/>
      <c r="G80" s="8"/>
      <c r="H80" s="11"/>
      <c r="I80" s="11"/>
      <c r="J80" s="2"/>
      <c r="K80" s="55"/>
    </row>
    <row r="81" spans="1:12" ht="11.1" customHeight="1">
      <c r="C81" s="8"/>
      <c r="D81" s="8"/>
      <c r="E81" s="8"/>
      <c r="F81" s="8"/>
      <c r="G81" s="8"/>
      <c r="H81" s="11"/>
      <c r="I81" s="11"/>
      <c r="J81" s="2"/>
      <c r="K81" s="55"/>
    </row>
    <row r="82" spans="1:12" ht="11.1" customHeight="1">
      <c r="C82" s="8"/>
      <c r="D82" s="8"/>
      <c r="E82" s="60"/>
      <c r="F82" s="60"/>
      <c r="G82" s="60"/>
      <c r="H82" s="11"/>
      <c r="I82" s="35"/>
      <c r="J82" s="5"/>
      <c r="K82" s="74"/>
    </row>
    <row r="83" spans="1:12" ht="11.1" customHeight="1">
      <c r="C83" s="9"/>
      <c r="D83" s="9"/>
      <c r="E83" s="235" t="s">
        <v>12</v>
      </c>
      <c r="F83" s="235"/>
      <c r="G83" s="235"/>
      <c r="H83" s="11"/>
      <c r="I83" s="35"/>
      <c r="J83" s="40"/>
      <c r="K83" s="74"/>
    </row>
    <row r="84" spans="1:12" ht="11.1" customHeight="1">
      <c r="C84" s="9"/>
      <c r="D84" s="9"/>
      <c r="E84" s="235" t="s">
        <v>16</v>
      </c>
      <c r="F84" s="235"/>
      <c r="G84" s="235"/>
      <c r="H84" s="56"/>
      <c r="I84" s="35"/>
      <c r="J84" s="40"/>
      <c r="K84" s="74"/>
    </row>
    <row r="85" spans="1:12" ht="15">
      <c r="A85" s="4"/>
      <c r="B85" s="4"/>
      <c r="C85" s="57"/>
      <c r="D85" s="57"/>
      <c r="E85" s="54"/>
      <c r="F85" s="54"/>
      <c r="G85" s="54"/>
      <c r="H85" s="54"/>
      <c r="I85" s="15"/>
      <c r="J85" s="15"/>
      <c r="K85" s="74"/>
      <c r="L85" s="16"/>
    </row>
    <row r="86" spans="1:12" ht="15">
      <c r="A86" s="4"/>
      <c r="B86" s="4"/>
      <c r="C86" s="4"/>
      <c r="D86" s="4"/>
      <c r="E86" s="1"/>
      <c r="F86" s="1"/>
      <c r="G86" s="1"/>
      <c r="H86" s="1"/>
      <c r="I86" s="15"/>
      <c r="J86" s="15"/>
      <c r="K86" s="74"/>
    </row>
    <row r="87" spans="1:12" ht="15">
      <c r="A87" s="4"/>
      <c r="B87" s="4"/>
      <c r="C87" s="4"/>
      <c r="D87" s="4"/>
      <c r="I87" s="15"/>
      <c r="J87" s="16"/>
      <c r="K87" s="74"/>
    </row>
    <row r="88" spans="1:12" ht="15">
      <c r="A88" s="4"/>
      <c r="B88" s="4"/>
      <c r="C88" s="13"/>
      <c r="D88" s="13"/>
      <c r="I88" s="15"/>
      <c r="K88" s="16"/>
    </row>
    <row r="89" spans="1:12" ht="15">
      <c r="A89" s="4"/>
      <c r="B89" s="4"/>
      <c r="C89" s="3"/>
      <c r="D89" s="3"/>
      <c r="I89" s="15"/>
      <c r="K89" s="74"/>
    </row>
    <row r="90" spans="1:12" ht="15">
      <c r="A90" s="4"/>
      <c r="B90" s="4"/>
      <c r="C90" s="4"/>
      <c r="D90" s="4"/>
      <c r="I90" s="15"/>
      <c r="K90" s="74"/>
    </row>
    <row r="91" spans="1:12" ht="15">
      <c r="A91" s="4"/>
      <c r="B91" s="4"/>
      <c r="C91" s="4"/>
      <c r="D91" s="4"/>
      <c r="I91" s="16"/>
      <c r="K91" s="74"/>
    </row>
    <row r="92" spans="1:12" ht="15">
      <c r="A92" s="4"/>
      <c r="B92" s="4"/>
      <c r="C92" s="4"/>
      <c r="D92" s="4"/>
      <c r="K92" s="74"/>
    </row>
    <row r="93" spans="1:12" ht="15">
      <c r="A93" s="4"/>
      <c r="B93" s="4"/>
      <c r="C93" s="4"/>
      <c r="D93" s="4"/>
      <c r="I93" s="66"/>
      <c r="K93" s="74"/>
    </row>
    <row r="94" spans="1:12">
      <c r="I94" s="66"/>
      <c r="K94" s="74"/>
    </row>
    <row r="95" spans="1:12">
      <c r="I95" s="14"/>
      <c r="K95" s="74"/>
    </row>
    <row r="96" spans="1:12">
      <c r="K96" s="74"/>
    </row>
    <row r="97" spans="11:11">
      <c r="K97" s="74"/>
    </row>
    <row r="98" spans="11:11">
      <c r="K98" s="74"/>
    </row>
    <row r="99" spans="11:11">
      <c r="K99" s="74"/>
    </row>
    <row r="100" spans="11:11">
      <c r="K100" s="74"/>
    </row>
    <row r="101" spans="11:11">
      <c r="K101" s="74"/>
    </row>
    <row r="102" spans="11:11">
      <c r="K102" s="74"/>
    </row>
    <row r="103" spans="11:11">
      <c r="K103" s="74"/>
    </row>
    <row r="104" spans="11:11">
      <c r="K104" s="74"/>
    </row>
    <row r="105" spans="11:11">
      <c r="K105" s="74"/>
    </row>
    <row r="106" spans="11:11">
      <c r="K106" s="74"/>
    </row>
    <row r="107" spans="11:11">
      <c r="K107" s="74"/>
    </row>
    <row r="108" spans="11:11">
      <c r="K108" s="74"/>
    </row>
  </sheetData>
  <mergeCells count="14">
    <mergeCell ref="E83:G83"/>
    <mergeCell ref="E84:G84"/>
    <mergeCell ref="B76:D76"/>
    <mergeCell ref="B77:D77"/>
    <mergeCell ref="A1:N1"/>
    <mergeCell ref="A2:N2"/>
    <mergeCell ref="A3:N3"/>
    <mergeCell ref="A4:N4"/>
    <mergeCell ref="H76:J76"/>
    <mergeCell ref="H77:J77"/>
    <mergeCell ref="A5:N5"/>
    <mergeCell ref="A35:N35"/>
    <mergeCell ref="A70:M70"/>
    <mergeCell ref="A71:M71"/>
  </mergeCells>
  <phoneticPr fontId="0" type="noConversion"/>
  <pageMargins left="1.42" right="0.39370078740157483" top="0.39370078740157483" bottom="0.78740157480314965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BPatrimonia Mensal-2016</vt:lpstr>
      <vt:lpstr>Demonst Rec. e Despesas Mensais</vt:lpstr>
    </vt:vector>
  </TitlesOfParts>
  <Company>Associacao dos Peritos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Srº Castro</dc:creator>
  <cp:lastModifiedBy>estação 1</cp:lastModifiedBy>
  <cp:lastPrinted>2016-06-07T12:02:19Z</cp:lastPrinted>
  <dcterms:created xsi:type="dcterms:W3CDTF">1998-05-12T19:47:35Z</dcterms:created>
  <dcterms:modified xsi:type="dcterms:W3CDTF">2017-01-31T12:48:10Z</dcterms:modified>
</cp:coreProperties>
</file>